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430" codeName="{C5BBEA04-B48B-DB03-FC8F-E18A6752861A}"/>
  <workbookPr codeName="ThisWorkbook" defaultThemeVersion="124226"/>
  <mc:AlternateContent xmlns:mc="http://schemas.openxmlformats.org/markup-compatibility/2006">
    <mc:Choice Requires="x15">
      <x15ac:absPath xmlns:x15ac="http://schemas.microsoft.com/office/spreadsheetml/2010/11/ac" url="C:\Users\EARM\Documents\000_IEnova_RCM-CRB-KPI\Intermedio\"/>
    </mc:Choice>
  </mc:AlternateContent>
  <xr:revisionPtr revIDLastSave="0" documentId="13_ncr:1_{020A5EAD-E2E3-4332-91E1-1C88BBC0ABA5}" xr6:coauthVersionLast="47" xr6:coauthVersionMax="47" xr10:uidLastSave="{00000000-0000-0000-0000-000000000000}"/>
  <bookViews>
    <workbookView xWindow="28680" yWindow="-210" windowWidth="29040" windowHeight="15990" tabRatio="559" activeTab="3" xr2:uid="{00000000-000D-0000-FFFF-FFFF00000000}"/>
  </bookViews>
  <sheets>
    <sheet name="RAM_ECI-1_Caso-A" sheetId="1035" r:id="rId1"/>
    <sheet name="RAM_ECI-1_Caso-B" sheetId="1037" r:id="rId2"/>
    <sheet name="CB_DATA_" sheetId="5" state="veryHidden" r:id="rId3"/>
    <sheet name="Datos" sheetId="1034" r:id="rId4"/>
    <sheet name="Plantilla Dt. Sht." sheetId="4" r:id="rId5"/>
    <sheet name="OREDA 2009" sheetId="1036" r:id="rId6"/>
    <sheet name="API581" sheetId="1038" r:id="rId7"/>
    <sheet name="TPR Gamma" sheetId="7" r:id="rId8"/>
    <sheet name="Chi-Square" sheetId="9" r:id="rId9"/>
  </sheets>
  <externalReferences>
    <externalReference r:id="rId10"/>
  </externalReferences>
  <definedNames>
    <definedName name="_xlnm._FilterDatabase" localSheetId="3" hidden="1">Datos!$A$5:$DA$35</definedName>
    <definedName name="_xlnm._FilterDatabase" localSheetId="5" hidden="1">'OREDA 2009'!$B$3:$X$426</definedName>
    <definedName name="_xlnm._FilterDatabase" localSheetId="1" hidden="1">'RAM_ECI-1_Caso-B'!$A$2:$R$2</definedName>
    <definedName name="_xlnm._FilterDatabase" localSheetId="7" hidden="1">'TPR Gamma'!$A$11:$AM$181</definedName>
    <definedName name="alpha" localSheetId="3">#REF!</definedName>
    <definedName name="alpha" localSheetId="1">#REF!</definedName>
    <definedName name="alpha">#REF!</definedName>
    <definedName name="_xlnm.Print_Area" localSheetId="8">'Chi-Square'!$C$8:$P$49</definedName>
    <definedName name="_xlnm.Print_Area" localSheetId="4">'Plantilla Dt. Sht.'!$B$2:$M$58</definedName>
    <definedName name="CB_3372d6f9997343e49d299ed554587726" localSheetId="7" hidden="1">'TPR Gamma'!$S$41</definedName>
    <definedName name="CB_7325afd95e1c4f07ac061c0740b1525e" localSheetId="4" hidden="1">'Plantilla Dt. Sht.'!#REF!</definedName>
    <definedName name="CB_7d904253784a4954ad2113dc2768b233" localSheetId="4" hidden="1">'Plantilla Dt. Sht.'!$L$39</definedName>
    <definedName name="CB_Block_00000000000000000000000000000000" localSheetId="4" hidden="1">"'7.0.0.0"</definedName>
    <definedName name="CB_Block_00000000000000000000000000000000" localSheetId="7" hidden="1">"'7.0.0.0"</definedName>
    <definedName name="CB_Block_00000000000000000000000000000001" localSheetId="4" hidden="1">"'635193534898059693"</definedName>
    <definedName name="CB_Block_00000000000000000000000000000001" localSheetId="7" hidden="1">"'635185613490792565"</definedName>
    <definedName name="CB_Block_00000000000000000000000000000003" localSheetId="4" hidden="1">"'11.1.2926.0"</definedName>
    <definedName name="CB_Block_00000000000000000000000000000003" localSheetId="7" hidden="1">"'11.1.2926.0"</definedName>
    <definedName name="CB_BlockExt_00000000000000000000000000000003" localSheetId="4" hidden="1">"'11.1.2.2.000"</definedName>
    <definedName name="CB_BlockExt_00000000000000000000000000000003" localSheetId="7" hidden="1">"'11.1.2.2.000"</definedName>
    <definedName name="CB_e3aaab52052643de913add1359bcecdc" localSheetId="7" hidden="1">'TPR Gamma'!#REF!</definedName>
    <definedName name="CBx_Sheet_Guid" localSheetId="4" hidden="1">"'4521cbdc-da8d-4e7e-982f-25b6cc139572"</definedName>
    <definedName name="CBx_Sheet_Guid" localSheetId="7" hidden="1">"'e808f8ce-f882-4e79-83d8-831c5f52076a"</definedName>
    <definedName name="CBx_SheetRef" localSheetId="4" hidden="1">CB_DATA_!$B$14</definedName>
    <definedName name="CBx_SheetRef" localSheetId="7" hidden="1">CB_DATA_!$C$14</definedName>
    <definedName name="CBx_StorageType" localSheetId="4" hidden="1">2</definedName>
    <definedName name="CBx_StorageType" localSheetId="7" hidden="1">2</definedName>
    <definedName name="Datos_Completos" localSheetId="3">Datos!$A$6:$AW$35</definedName>
    <definedName name="Datos_Completos">#REF!</definedName>
    <definedName name="Datos_Fuente1">#REF!</definedName>
    <definedName name="Datos_TPR">'TPR Gamma'!$D$12:$H$181</definedName>
    <definedName name="Export_Library">#REF!</definedName>
    <definedName name="Manhours_Oreda" localSheetId="3">#REF!</definedName>
    <definedName name="Manhours_Oreda" localSheetId="1">#REF!</definedName>
    <definedName name="Manhours_Oreda">#REF!</definedName>
    <definedName name="Matriz_DataSheets">Datos!$C$6:$AW$35</definedName>
    <definedName name="OREDA2009">'OREDA 2009'!$D$4:$X$426</definedName>
    <definedName name="_xlnm.Print_Titles" localSheetId="8">'Chi-Square'!$B$1:$B$65542</definedName>
    <definedName name="Upper_Chi_Reducida">'[1]Chi-Square'!$S$13:$V$212</definedName>
    <definedName name="Upper_Chi_Square">'[1]Chi-Square'!$R$13:$V$212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20" i="1034" l="1"/>
  <c r="R20" i="1034" s="1"/>
  <c r="J19" i="1034"/>
  <c r="J18" i="1034"/>
  <c r="R18" i="1034" s="1"/>
  <c r="W35" i="1034"/>
  <c r="W33" i="1034"/>
  <c r="W32" i="1034"/>
  <c r="W27" i="1034"/>
  <c r="W26" i="1034"/>
  <c r="W25" i="1034"/>
  <c r="W21" i="1034"/>
  <c r="Q35" i="1034"/>
  <c r="P35" i="1034"/>
  <c r="O35" i="1034"/>
  <c r="N35" i="1034"/>
  <c r="M35" i="1034"/>
  <c r="R35" i="1034" s="1"/>
  <c r="R33" i="1034"/>
  <c r="Q33" i="1034"/>
  <c r="P33" i="1034"/>
  <c r="O33" i="1034"/>
  <c r="N33" i="1034"/>
  <c r="M33" i="1034"/>
  <c r="Q32" i="1034"/>
  <c r="P32" i="1034"/>
  <c r="O32" i="1034"/>
  <c r="N32" i="1034"/>
  <c r="M32" i="1034"/>
  <c r="R32" i="1034" s="1"/>
  <c r="Q27" i="1034"/>
  <c r="P27" i="1034"/>
  <c r="O27" i="1034"/>
  <c r="N27" i="1034"/>
  <c r="M27" i="1034"/>
  <c r="R27" i="1034" s="1"/>
  <c r="Q25" i="1034"/>
  <c r="P25" i="1034"/>
  <c r="O25" i="1034"/>
  <c r="N25" i="1034"/>
  <c r="M25" i="1034"/>
  <c r="R25" i="1034" s="1"/>
  <c r="M21" i="1034"/>
  <c r="R21" i="1034" s="1"/>
  <c r="J10" i="1034"/>
  <c r="L34" i="1038"/>
  <c r="L29" i="1038"/>
  <c r="L28" i="1038"/>
  <c r="L26" i="1038"/>
  <c r="L21" i="1038"/>
  <c r="L17" i="1038"/>
  <c r="L15" i="1038"/>
  <c r="L12" i="1038"/>
  <c r="L10" i="1038"/>
  <c r="L9" i="1038"/>
  <c r="B16" i="1035"/>
  <c r="E16" i="1035"/>
  <c r="I16" i="1035"/>
  <c r="B17" i="1035"/>
  <c r="E17" i="1035"/>
  <c r="I17" i="1035"/>
  <c r="B16" i="1037"/>
  <c r="B17" i="1037"/>
  <c r="B18" i="1037"/>
  <c r="E15" i="1037"/>
  <c r="I15" i="1037"/>
  <c r="E16" i="1037"/>
  <c r="I16" i="1037"/>
  <c r="E17" i="1037"/>
  <c r="I17" i="1037"/>
  <c r="E18" i="1037"/>
  <c r="I18" i="1037"/>
  <c r="A19" i="1034"/>
  <c r="A20" i="1034" s="1"/>
  <c r="A21" i="1034" s="1"/>
  <c r="A22" i="1034" s="1"/>
  <c r="B19" i="1034"/>
  <c r="B20" i="1034" s="1"/>
  <c r="B21" i="1034" s="1"/>
  <c r="B22" i="1034" s="1"/>
  <c r="CW20" i="1034"/>
  <c r="CS20" i="1034"/>
  <c r="CR20" i="1034"/>
  <c r="BV20" i="1034"/>
  <c r="BR20" i="1034"/>
  <c r="BQ20" i="1034"/>
  <c r="AP20" i="1034"/>
  <c r="AN20" i="1034"/>
  <c r="AL20" i="1034"/>
  <c r="AJ20" i="1034"/>
  <c r="F17" i="1037" s="1"/>
  <c r="AC20" i="1034"/>
  <c r="AA20" i="1034"/>
  <c r="Y20" i="1034"/>
  <c r="W20" i="1034"/>
  <c r="Z20" i="1034" s="1"/>
  <c r="D17" i="1035" s="1"/>
  <c r="D17" i="1037" s="1"/>
  <c r="U20" i="1034"/>
  <c r="CD20" i="1034" s="1"/>
  <c r="T20" i="1034"/>
  <c r="CC20" i="1034" s="1"/>
  <c r="S20" i="1034"/>
  <c r="CB20" i="1034" s="1"/>
  <c r="CM20" i="1034" s="1"/>
  <c r="Q20" i="1034"/>
  <c r="P20" i="1034"/>
  <c r="BA20" i="1034" s="1"/>
  <c r="BL20" i="1034" s="1"/>
  <c r="O20" i="1034"/>
  <c r="BB20" i="1034" s="1"/>
  <c r="N20" i="1034"/>
  <c r="BC20" i="1034" s="1"/>
  <c r="L20" i="1034"/>
  <c r="K20" i="1034"/>
  <c r="I20" i="1034"/>
  <c r="H20" i="1034"/>
  <c r="CW19" i="1034"/>
  <c r="CS19" i="1034"/>
  <c r="CR19" i="1034"/>
  <c r="BV19" i="1034"/>
  <c r="BR19" i="1034"/>
  <c r="BQ19" i="1034"/>
  <c r="AP19" i="1034"/>
  <c r="AN19" i="1034"/>
  <c r="AL19" i="1034"/>
  <c r="AJ19" i="1034"/>
  <c r="F16" i="1035" s="1"/>
  <c r="AC19" i="1034"/>
  <c r="AA19" i="1034"/>
  <c r="Y19" i="1034"/>
  <c r="W19" i="1034"/>
  <c r="Z19" i="1034" s="1"/>
  <c r="D16" i="1035" s="1"/>
  <c r="D16" i="1037" s="1"/>
  <c r="U19" i="1034"/>
  <c r="CD19" i="1034" s="1"/>
  <c r="T19" i="1034"/>
  <c r="CC19" i="1034" s="1"/>
  <c r="S19" i="1034"/>
  <c r="CB19" i="1034" s="1"/>
  <c r="Q19" i="1034"/>
  <c r="P19" i="1034"/>
  <c r="BA19" i="1034" s="1"/>
  <c r="O19" i="1034"/>
  <c r="BB19" i="1034" s="1"/>
  <c r="N19" i="1034"/>
  <c r="BC19" i="1034" s="1"/>
  <c r="L19" i="1034"/>
  <c r="K19" i="1034"/>
  <c r="R19" i="1034"/>
  <c r="I19" i="1034"/>
  <c r="H19" i="1034"/>
  <c r="F16" i="1037" l="1"/>
  <c r="F17" i="1035"/>
  <c r="BZ20" i="1034"/>
  <c r="BY20" i="1034"/>
  <c r="BX20" i="1034"/>
  <c r="BW20" i="1034"/>
  <c r="BD20" i="1034" s="1"/>
  <c r="CZ20" i="1034"/>
  <c r="CY20" i="1034"/>
  <c r="CX20" i="1034"/>
  <c r="CE20" i="1034" s="1"/>
  <c r="AK20" i="1034" s="1"/>
  <c r="DA20" i="1034"/>
  <c r="X20" i="1034"/>
  <c r="AG20" i="1034" s="1"/>
  <c r="CM19" i="1034"/>
  <c r="DA19" i="1034" s="1"/>
  <c r="BL19" i="1034"/>
  <c r="X19" i="1034"/>
  <c r="U9" i="1034"/>
  <c r="CD9" i="1034" s="1"/>
  <c r="U30" i="1034"/>
  <c r="CD30" i="1034" s="1"/>
  <c r="U14" i="1034"/>
  <c r="U15" i="1034"/>
  <c r="U16" i="1034"/>
  <c r="U17" i="1034"/>
  <c r="CD17" i="1034" s="1"/>
  <c r="U18" i="1034"/>
  <c r="CD18" i="1034" s="1"/>
  <c r="U21" i="1034"/>
  <c r="CD21" i="1034" s="1"/>
  <c r="U12" i="1034"/>
  <c r="CD12" i="1034" s="1"/>
  <c r="U8" i="1034"/>
  <c r="CD8" i="1034" s="1"/>
  <c r="U7" i="1034"/>
  <c r="CD7" i="1034" s="1"/>
  <c r="U28" i="1034"/>
  <c r="CD28" i="1034" s="1"/>
  <c r="U22" i="1034"/>
  <c r="U26" i="1034"/>
  <c r="CD26" i="1034" s="1"/>
  <c r="U24" i="1034"/>
  <c r="CD24" i="1034" s="1"/>
  <c r="U32" i="1034"/>
  <c r="CD32" i="1034" s="1"/>
  <c r="AP35" i="1034"/>
  <c r="AN35" i="1034"/>
  <c r="AL35" i="1034"/>
  <c r="AJ35" i="1034"/>
  <c r="AC35" i="1034"/>
  <c r="AA35" i="1034"/>
  <c r="Y35" i="1034"/>
  <c r="U35" i="1034"/>
  <c r="CD35" i="1034" s="1"/>
  <c r="T35" i="1034"/>
  <c r="CC35" i="1034" s="1"/>
  <c r="S35" i="1034"/>
  <c r="CB35" i="1034" s="1"/>
  <c r="BA35" i="1034"/>
  <c r="BB35" i="1034"/>
  <c r="BC35" i="1034"/>
  <c r="L35" i="1034"/>
  <c r="K35" i="1034"/>
  <c r="I35" i="1034"/>
  <c r="H35" i="1034"/>
  <c r="AP34" i="1034"/>
  <c r="AN34" i="1034"/>
  <c r="AL34" i="1034"/>
  <c r="AJ34" i="1034"/>
  <c r="AC34" i="1034"/>
  <c r="AA34" i="1034"/>
  <c r="Y34" i="1034"/>
  <c r="W34" i="1034"/>
  <c r="U34" i="1034"/>
  <c r="CD34" i="1034" s="1"/>
  <c r="T34" i="1034"/>
  <c r="CC34" i="1034" s="1"/>
  <c r="S34" i="1034"/>
  <c r="CB34" i="1034" s="1"/>
  <c r="R34" i="1034"/>
  <c r="Q34" i="1034"/>
  <c r="P34" i="1034"/>
  <c r="BA34" i="1034" s="1"/>
  <c r="O34" i="1034"/>
  <c r="BB34" i="1034" s="1"/>
  <c r="N34" i="1034"/>
  <c r="BC34" i="1034" s="1"/>
  <c r="M34" i="1034"/>
  <c r="L34" i="1034"/>
  <c r="K34" i="1034"/>
  <c r="J34" i="1034"/>
  <c r="I34" i="1034"/>
  <c r="H34" i="1034"/>
  <c r="AP33" i="1034"/>
  <c r="AN33" i="1034"/>
  <c r="AL33" i="1034"/>
  <c r="AJ33" i="1034"/>
  <c r="AC33" i="1034"/>
  <c r="AA33" i="1034"/>
  <c r="Y33" i="1034"/>
  <c r="Z33" i="1034"/>
  <c r="U33" i="1034"/>
  <c r="CD33" i="1034" s="1"/>
  <c r="T33" i="1034"/>
  <c r="CC33" i="1034" s="1"/>
  <c r="S33" i="1034"/>
  <c r="CB33" i="1034" s="1"/>
  <c r="BA33" i="1034"/>
  <c r="BB33" i="1034"/>
  <c r="BC33" i="1034"/>
  <c r="L33" i="1034"/>
  <c r="K33" i="1034"/>
  <c r="I33" i="1034"/>
  <c r="H33" i="1034"/>
  <c r="AP32" i="1034"/>
  <c r="AN32" i="1034"/>
  <c r="AL32" i="1034"/>
  <c r="AJ32" i="1034"/>
  <c r="AC32" i="1034"/>
  <c r="AA32" i="1034"/>
  <c r="Y32" i="1034"/>
  <c r="T32" i="1034"/>
  <c r="CC32" i="1034" s="1"/>
  <c r="S32" i="1034"/>
  <c r="CB32" i="1034" s="1"/>
  <c r="BA32" i="1034"/>
  <c r="BB32" i="1034"/>
  <c r="BC32" i="1034"/>
  <c r="L32" i="1034"/>
  <c r="K32" i="1034"/>
  <c r="I32" i="1034"/>
  <c r="H32" i="1034"/>
  <c r="AP31" i="1034"/>
  <c r="AN31" i="1034"/>
  <c r="AL31" i="1034"/>
  <c r="AJ31" i="1034"/>
  <c r="AC31" i="1034"/>
  <c r="AA31" i="1034"/>
  <c r="Y31" i="1034"/>
  <c r="W31" i="1034"/>
  <c r="U31" i="1034"/>
  <c r="CD31" i="1034" s="1"/>
  <c r="T31" i="1034"/>
  <c r="CC31" i="1034" s="1"/>
  <c r="S31" i="1034"/>
  <c r="CB31" i="1034" s="1"/>
  <c r="R31" i="1034"/>
  <c r="Q31" i="1034"/>
  <c r="P31" i="1034"/>
  <c r="BA31" i="1034" s="1"/>
  <c r="O31" i="1034"/>
  <c r="BB31" i="1034" s="1"/>
  <c r="N31" i="1034"/>
  <c r="BC31" i="1034" s="1"/>
  <c r="M31" i="1034"/>
  <c r="L31" i="1034"/>
  <c r="K31" i="1034"/>
  <c r="J31" i="1034"/>
  <c r="I31" i="1034"/>
  <c r="H31" i="1034"/>
  <c r="AP30" i="1034"/>
  <c r="AN30" i="1034"/>
  <c r="AL30" i="1034"/>
  <c r="AJ30" i="1034"/>
  <c r="AC30" i="1034"/>
  <c r="AA30" i="1034"/>
  <c r="Y30" i="1034"/>
  <c r="W30" i="1034"/>
  <c r="T30" i="1034"/>
  <c r="CC30" i="1034" s="1"/>
  <c r="S30" i="1034"/>
  <c r="CB30" i="1034" s="1"/>
  <c r="R30" i="1034"/>
  <c r="Q30" i="1034"/>
  <c r="P30" i="1034"/>
  <c r="BA30" i="1034" s="1"/>
  <c r="O30" i="1034"/>
  <c r="BB30" i="1034" s="1"/>
  <c r="N30" i="1034"/>
  <c r="BC30" i="1034" s="1"/>
  <c r="M30" i="1034"/>
  <c r="L30" i="1034"/>
  <c r="K30" i="1034"/>
  <c r="J30" i="1034"/>
  <c r="I30" i="1034"/>
  <c r="H30" i="1034"/>
  <c r="AP29" i="1034"/>
  <c r="AN29" i="1034"/>
  <c r="AL29" i="1034"/>
  <c r="AJ29" i="1034"/>
  <c r="AC29" i="1034"/>
  <c r="AA29" i="1034"/>
  <c r="Y29" i="1034"/>
  <c r="W29" i="1034"/>
  <c r="U29" i="1034"/>
  <c r="CD29" i="1034" s="1"/>
  <c r="T29" i="1034"/>
  <c r="CC29" i="1034" s="1"/>
  <c r="S29" i="1034"/>
  <c r="CB29" i="1034" s="1"/>
  <c r="R29" i="1034"/>
  <c r="Q29" i="1034"/>
  <c r="P29" i="1034"/>
  <c r="BA29" i="1034" s="1"/>
  <c r="O29" i="1034"/>
  <c r="BB29" i="1034" s="1"/>
  <c r="N29" i="1034"/>
  <c r="BC29" i="1034" s="1"/>
  <c r="M29" i="1034"/>
  <c r="L29" i="1034"/>
  <c r="K29" i="1034"/>
  <c r="J29" i="1034"/>
  <c r="I29" i="1034"/>
  <c r="H29" i="1034"/>
  <c r="AP28" i="1034"/>
  <c r="AN28" i="1034"/>
  <c r="AL28" i="1034"/>
  <c r="AJ28" i="1034"/>
  <c r="AC28" i="1034"/>
  <c r="AA28" i="1034"/>
  <c r="Y28" i="1034"/>
  <c r="W28" i="1034"/>
  <c r="T28" i="1034"/>
  <c r="CC28" i="1034" s="1"/>
  <c r="S28" i="1034"/>
  <c r="CB28" i="1034" s="1"/>
  <c r="R28" i="1034"/>
  <c r="Q28" i="1034"/>
  <c r="P28" i="1034"/>
  <c r="BA28" i="1034" s="1"/>
  <c r="O28" i="1034"/>
  <c r="BB28" i="1034" s="1"/>
  <c r="N28" i="1034"/>
  <c r="BC28" i="1034" s="1"/>
  <c r="M28" i="1034"/>
  <c r="L28" i="1034"/>
  <c r="K28" i="1034"/>
  <c r="J28" i="1034"/>
  <c r="I28" i="1034"/>
  <c r="H28" i="1034"/>
  <c r="AP27" i="1034"/>
  <c r="AN27" i="1034"/>
  <c r="AL27" i="1034"/>
  <c r="AJ27" i="1034"/>
  <c r="AC27" i="1034"/>
  <c r="AA27" i="1034"/>
  <c r="Y27" i="1034"/>
  <c r="Z27" i="1034"/>
  <c r="U27" i="1034"/>
  <c r="CD27" i="1034" s="1"/>
  <c r="T27" i="1034"/>
  <c r="CC27" i="1034" s="1"/>
  <c r="S27" i="1034"/>
  <c r="CB27" i="1034" s="1"/>
  <c r="BA27" i="1034"/>
  <c r="BB27" i="1034"/>
  <c r="BC27" i="1034"/>
  <c r="L27" i="1034"/>
  <c r="K27" i="1034"/>
  <c r="I27" i="1034"/>
  <c r="H27" i="1034"/>
  <c r="AP26" i="1034"/>
  <c r="AN26" i="1034"/>
  <c r="AL26" i="1034"/>
  <c r="AJ26" i="1034"/>
  <c r="AC26" i="1034"/>
  <c r="AA26" i="1034"/>
  <c r="Y26" i="1034"/>
  <c r="T26" i="1034"/>
  <c r="CC26" i="1034" s="1"/>
  <c r="S26" i="1034"/>
  <c r="CB26" i="1034" s="1"/>
  <c r="R26" i="1034"/>
  <c r="Q26" i="1034"/>
  <c r="P26" i="1034"/>
  <c r="BA26" i="1034" s="1"/>
  <c r="O26" i="1034"/>
  <c r="BB26" i="1034" s="1"/>
  <c r="N26" i="1034"/>
  <c r="BC26" i="1034" s="1"/>
  <c r="L26" i="1034"/>
  <c r="K26" i="1034"/>
  <c r="I26" i="1034"/>
  <c r="H26" i="1034"/>
  <c r="AP25" i="1034"/>
  <c r="AN25" i="1034"/>
  <c r="AL25" i="1034"/>
  <c r="AJ25" i="1034"/>
  <c r="AC25" i="1034"/>
  <c r="AA25" i="1034"/>
  <c r="Y25" i="1034"/>
  <c r="Z25" i="1034"/>
  <c r="U25" i="1034"/>
  <c r="CD25" i="1034" s="1"/>
  <c r="T25" i="1034"/>
  <c r="CC25" i="1034" s="1"/>
  <c r="S25" i="1034"/>
  <c r="CB25" i="1034" s="1"/>
  <c r="BA25" i="1034"/>
  <c r="BB25" i="1034"/>
  <c r="BC25" i="1034"/>
  <c r="L25" i="1034"/>
  <c r="K25" i="1034"/>
  <c r="I25" i="1034"/>
  <c r="H25" i="1034"/>
  <c r="AP21" i="1034"/>
  <c r="AN21" i="1034"/>
  <c r="AL21" i="1034"/>
  <c r="AJ21" i="1034"/>
  <c r="F18" i="1037" s="1"/>
  <c r="AC21" i="1034"/>
  <c r="AA21" i="1034"/>
  <c r="Y21" i="1034"/>
  <c r="T21" i="1034"/>
  <c r="CC21" i="1034" s="1"/>
  <c r="S21" i="1034"/>
  <c r="CB21" i="1034" s="1"/>
  <c r="Q21" i="1034"/>
  <c r="P21" i="1034"/>
  <c r="BA21" i="1034" s="1"/>
  <c r="O21" i="1034"/>
  <c r="BB21" i="1034" s="1"/>
  <c r="N21" i="1034"/>
  <c r="BC21" i="1034" s="1"/>
  <c r="L21" i="1034"/>
  <c r="K21" i="1034"/>
  <c r="I21" i="1034"/>
  <c r="H21" i="1034"/>
  <c r="AP24" i="1034"/>
  <c r="AN24" i="1034"/>
  <c r="AL24" i="1034"/>
  <c r="AJ24" i="1034"/>
  <c r="AC24" i="1034"/>
  <c r="AA24" i="1034"/>
  <c r="Y24" i="1034"/>
  <c r="W24" i="1034"/>
  <c r="T24" i="1034"/>
  <c r="CC24" i="1034" s="1"/>
  <c r="S24" i="1034"/>
  <c r="CB24" i="1034" s="1"/>
  <c r="R24" i="1034"/>
  <c r="Q24" i="1034"/>
  <c r="P24" i="1034"/>
  <c r="BA24" i="1034" s="1"/>
  <c r="O24" i="1034"/>
  <c r="BB24" i="1034" s="1"/>
  <c r="N24" i="1034"/>
  <c r="BC24" i="1034" s="1"/>
  <c r="M24" i="1034"/>
  <c r="L24" i="1034"/>
  <c r="K24" i="1034"/>
  <c r="J24" i="1034"/>
  <c r="I24" i="1034"/>
  <c r="H24" i="1034"/>
  <c r="AP13" i="1034"/>
  <c r="AN13" i="1034"/>
  <c r="AL13" i="1034"/>
  <c r="AJ13" i="1034"/>
  <c r="AC13" i="1034"/>
  <c r="AA13" i="1034"/>
  <c r="Y13" i="1034"/>
  <c r="W13" i="1034"/>
  <c r="U13" i="1034"/>
  <c r="CD13" i="1034" s="1"/>
  <c r="T13" i="1034"/>
  <c r="CC13" i="1034" s="1"/>
  <c r="S13" i="1034"/>
  <c r="CB13" i="1034" s="1"/>
  <c r="R13" i="1034"/>
  <c r="Q13" i="1034"/>
  <c r="P13" i="1034"/>
  <c r="BA13" i="1034" s="1"/>
  <c r="O13" i="1034"/>
  <c r="BB13" i="1034" s="1"/>
  <c r="N13" i="1034"/>
  <c r="BC13" i="1034" s="1"/>
  <c r="M13" i="1034"/>
  <c r="L13" i="1034"/>
  <c r="K13" i="1034"/>
  <c r="J13" i="1034"/>
  <c r="I13" i="1034"/>
  <c r="H13" i="1034"/>
  <c r="AP11" i="1034"/>
  <c r="AN11" i="1034"/>
  <c r="AL11" i="1034"/>
  <c r="AJ11" i="1034"/>
  <c r="AC11" i="1034"/>
  <c r="AA11" i="1034"/>
  <c r="Y11" i="1034"/>
  <c r="W11" i="1034"/>
  <c r="U11" i="1034"/>
  <c r="CD11" i="1034" s="1"/>
  <c r="T11" i="1034"/>
  <c r="CC11" i="1034" s="1"/>
  <c r="S11" i="1034"/>
  <c r="CB11" i="1034" s="1"/>
  <c r="R11" i="1034"/>
  <c r="Q11" i="1034"/>
  <c r="P11" i="1034"/>
  <c r="BA11" i="1034" s="1"/>
  <c r="O11" i="1034"/>
  <c r="BB11" i="1034" s="1"/>
  <c r="N11" i="1034"/>
  <c r="BC11" i="1034" s="1"/>
  <c r="M11" i="1034"/>
  <c r="L11" i="1034"/>
  <c r="K11" i="1034"/>
  <c r="J11" i="1034"/>
  <c r="I11" i="1034"/>
  <c r="H11" i="1034"/>
  <c r="AP10" i="1034"/>
  <c r="AN10" i="1034"/>
  <c r="AL10" i="1034"/>
  <c r="AJ10" i="1034"/>
  <c r="AC10" i="1034"/>
  <c r="AA10" i="1034"/>
  <c r="Y10" i="1034"/>
  <c r="W10" i="1034"/>
  <c r="Z10" i="1034" s="1"/>
  <c r="U10" i="1034"/>
  <c r="CD10" i="1034" s="1"/>
  <c r="T10" i="1034"/>
  <c r="CC10" i="1034" s="1"/>
  <c r="S10" i="1034"/>
  <c r="CB10" i="1034" s="1"/>
  <c r="Q10" i="1034"/>
  <c r="P10" i="1034"/>
  <c r="BA10" i="1034" s="1"/>
  <c r="O10" i="1034"/>
  <c r="BB10" i="1034" s="1"/>
  <c r="N10" i="1034"/>
  <c r="BC10" i="1034" s="1"/>
  <c r="L10" i="1034"/>
  <c r="K10" i="1034"/>
  <c r="R10" i="1034"/>
  <c r="I10" i="1034"/>
  <c r="H10" i="1034"/>
  <c r="AP18" i="1034"/>
  <c r="AN18" i="1034"/>
  <c r="AL18" i="1034"/>
  <c r="AJ18" i="1034"/>
  <c r="F15" i="1037" s="1"/>
  <c r="AC18" i="1034"/>
  <c r="AA18" i="1034"/>
  <c r="Y18" i="1034"/>
  <c r="W18" i="1034"/>
  <c r="B15" i="1037" s="1"/>
  <c r="T18" i="1034"/>
  <c r="CC18" i="1034" s="1"/>
  <c r="S18" i="1034"/>
  <c r="CB18" i="1034" s="1"/>
  <c r="Q18" i="1034"/>
  <c r="P18" i="1034"/>
  <c r="BA18" i="1034" s="1"/>
  <c r="O18" i="1034"/>
  <c r="BB18" i="1034" s="1"/>
  <c r="N18" i="1034"/>
  <c r="BC18" i="1034" s="1"/>
  <c r="L18" i="1034"/>
  <c r="K18" i="1034"/>
  <c r="I18" i="1034"/>
  <c r="H18" i="1034"/>
  <c r="AP17" i="1034"/>
  <c r="AN17" i="1034"/>
  <c r="AL17" i="1034"/>
  <c r="AJ17" i="1034"/>
  <c r="AC17" i="1034"/>
  <c r="AA17" i="1034"/>
  <c r="Y17" i="1034"/>
  <c r="W17" i="1034"/>
  <c r="T17" i="1034"/>
  <c r="CC17" i="1034" s="1"/>
  <c r="S17" i="1034"/>
  <c r="CB17" i="1034" s="1"/>
  <c r="R17" i="1034"/>
  <c r="Q17" i="1034"/>
  <c r="P17" i="1034"/>
  <c r="BA17" i="1034" s="1"/>
  <c r="O17" i="1034"/>
  <c r="BB17" i="1034" s="1"/>
  <c r="N17" i="1034"/>
  <c r="BC17" i="1034" s="1"/>
  <c r="M17" i="1034"/>
  <c r="L17" i="1034"/>
  <c r="K17" i="1034"/>
  <c r="J17" i="1034"/>
  <c r="I17" i="1034"/>
  <c r="H17" i="1034"/>
  <c r="AP16" i="1034"/>
  <c r="AN16" i="1034"/>
  <c r="AL16" i="1034"/>
  <c r="AJ16" i="1034"/>
  <c r="AC16" i="1034"/>
  <c r="AA16" i="1034"/>
  <c r="Y16" i="1034"/>
  <c r="W16" i="1034"/>
  <c r="CD16" i="1034"/>
  <c r="T16" i="1034"/>
  <c r="CC16" i="1034" s="1"/>
  <c r="S16" i="1034"/>
  <c r="CB16" i="1034" s="1"/>
  <c r="R16" i="1034"/>
  <c r="Q16" i="1034"/>
  <c r="P16" i="1034"/>
  <c r="BA16" i="1034" s="1"/>
  <c r="O16" i="1034"/>
  <c r="BB16" i="1034" s="1"/>
  <c r="N16" i="1034"/>
  <c r="BC16" i="1034" s="1"/>
  <c r="M16" i="1034"/>
  <c r="L16" i="1034"/>
  <c r="K16" i="1034"/>
  <c r="J16" i="1034"/>
  <c r="I16" i="1034"/>
  <c r="H16" i="1034"/>
  <c r="AP15" i="1034"/>
  <c r="AN15" i="1034"/>
  <c r="AL15" i="1034"/>
  <c r="AJ15" i="1034"/>
  <c r="AC15" i="1034"/>
  <c r="AA15" i="1034"/>
  <c r="Y15" i="1034"/>
  <c r="W15" i="1034"/>
  <c r="CD15" i="1034"/>
  <c r="T15" i="1034"/>
  <c r="CC15" i="1034" s="1"/>
  <c r="S15" i="1034"/>
  <c r="CB15" i="1034" s="1"/>
  <c r="R15" i="1034"/>
  <c r="Q15" i="1034"/>
  <c r="P15" i="1034"/>
  <c r="BA15" i="1034" s="1"/>
  <c r="O15" i="1034"/>
  <c r="BB15" i="1034" s="1"/>
  <c r="N15" i="1034"/>
  <c r="BC15" i="1034" s="1"/>
  <c r="M15" i="1034"/>
  <c r="L15" i="1034"/>
  <c r="K15" i="1034"/>
  <c r="J15" i="1034"/>
  <c r="I15" i="1034"/>
  <c r="H15" i="1034"/>
  <c r="AP14" i="1034"/>
  <c r="AN14" i="1034"/>
  <c r="AL14" i="1034"/>
  <c r="AJ14" i="1034"/>
  <c r="AC14" i="1034"/>
  <c r="AA14" i="1034"/>
  <c r="Y14" i="1034"/>
  <c r="W14" i="1034"/>
  <c r="CD14" i="1034"/>
  <c r="T14" i="1034"/>
  <c r="CC14" i="1034" s="1"/>
  <c r="S14" i="1034"/>
  <c r="CB14" i="1034" s="1"/>
  <c r="R14" i="1034"/>
  <c r="Q14" i="1034"/>
  <c r="P14" i="1034"/>
  <c r="BA14" i="1034" s="1"/>
  <c r="O14" i="1034"/>
  <c r="BB14" i="1034" s="1"/>
  <c r="N14" i="1034"/>
  <c r="BC14" i="1034" s="1"/>
  <c r="M14" i="1034"/>
  <c r="L14" i="1034"/>
  <c r="K14" i="1034"/>
  <c r="J14" i="1034"/>
  <c r="I14" i="1034"/>
  <c r="H14" i="1034"/>
  <c r="AP12" i="1034"/>
  <c r="AN12" i="1034"/>
  <c r="AL12" i="1034"/>
  <c r="AJ12" i="1034"/>
  <c r="AC12" i="1034"/>
  <c r="AA12" i="1034"/>
  <c r="Y12" i="1034"/>
  <c r="W12" i="1034"/>
  <c r="T12" i="1034"/>
  <c r="CC12" i="1034" s="1"/>
  <c r="S12" i="1034"/>
  <c r="CB12" i="1034" s="1"/>
  <c r="R12" i="1034"/>
  <c r="Q12" i="1034"/>
  <c r="P12" i="1034"/>
  <c r="BA12" i="1034" s="1"/>
  <c r="O12" i="1034"/>
  <c r="BB12" i="1034" s="1"/>
  <c r="N12" i="1034"/>
  <c r="BC12" i="1034" s="1"/>
  <c r="M12" i="1034"/>
  <c r="L12" i="1034"/>
  <c r="K12" i="1034"/>
  <c r="J12" i="1034"/>
  <c r="I12" i="1034"/>
  <c r="H12" i="1034"/>
  <c r="AP9" i="1034"/>
  <c r="AN9" i="1034"/>
  <c r="AL9" i="1034"/>
  <c r="AJ9" i="1034"/>
  <c r="AC9" i="1034"/>
  <c r="AA9" i="1034"/>
  <c r="Y9" i="1034"/>
  <c r="W9" i="1034"/>
  <c r="T9" i="1034"/>
  <c r="CC9" i="1034" s="1"/>
  <c r="S9" i="1034"/>
  <c r="CB9" i="1034" s="1"/>
  <c r="R9" i="1034"/>
  <c r="Q9" i="1034"/>
  <c r="P9" i="1034"/>
  <c r="BA9" i="1034" s="1"/>
  <c r="O9" i="1034"/>
  <c r="BB9" i="1034" s="1"/>
  <c r="N9" i="1034"/>
  <c r="BC9" i="1034" s="1"/>
  <c r="M9" i="1034"/>
  <c r="L9" i="1034"/>
  <c r="K9" i="1034"/>
  <c r="J9" i="1034"/>
  <c r="I9" i="1034"/>
  <c r="H9" i="1034"/>
  <c r="AP8" i="1034"/>
  <c r="AN8" i="1034"/>
  <c r="AL8" i="1034"/>
  <c r="AJ8" i="1034"/>
  <c r="AC8" i="1034"/>
  <c r="AA8" i="1034"/>
  <c r="Y8" i="1034"/>
  <c r="W8" i="1034"/>
  <c r="T8" i="1034"/>
  <c r="CC8" i="1034" s="1"/>
  <c r="S8" i="1034"/>
  <c r="CB8" i="1034" s="1"/>
  <c r="R8" i="1034"/>
  <c r="Q8" i="1034"/>
  <c r="P8" i="1034"/>
  <c r="BA8" i="1034" s="1"/>
  <c r="O8" i="1034"/>
  <c r="BB8" i="1034" s="1"/>
  <c r="N8" i="1034"/>
  <c r="BC8" i="1034" s="1"/>
  <c r="M8" i="1034"/>
  <c r="L8" i="1034"/>
  <c r="K8" i="1034"/>
  <c r="J8" i="1034"/>
  <c r="I8" i="1034"/>
  <c r="H8" i="1034"/>
  <c r="AP7" i="1034"/>
  <c r="AN7" i="1034"/>
  <c r="AL7" i="1034"/>
  <c r="AJ7" i="1034"/>
  <c r="AC7" i="1034"/>
  <c r="AA7" i="1034"/>
  <c r="Y7" i="1034"/>
  <c r="W7" i="1034"/>
  <c r="T7" i="1034"/>
  <c r="CC7" i="1034" s="1"/>
  <c r="S7" i="1034"/>
  <c r="CB7" i="1034" s="1"/>
  <c r="R7" i="1034"/>
  <c r="Q7" i="1034"/>
  <c r="P7" i="1034"/>
  <c r="BA7" i="1034" s="1"/>
  <c r="O7" i="1034"/>
  <c r="BB7" i="1034" s="1"/>
  <c r="N7" i="1034"/>
  <c r="BC7" i="1034" s="1"/>
  <c r="M7" i="1034"/>
  <c r="L7" i="1034"/>
  <c r="K7" i="1034"/>
  <c r="J7" i="1034"/>
  <c r="I7" i="1034"/>
  <c r="H7" i="1034"/>
  <c r="B7" i="1034"/>
  <c r="B8" i="1034" s="1"/>
  <c r="B9" i="1034" s="1"/>
  <c r="B10" i="1034" s="1"/>
  <c r="B11" i="1034" s="1"/>
  <c r="A7" i="1034"/>
  <c r="A8" i="1034" s="1"/>
  <c r="A9" i="1034" s="1"/>
  <c r="A10" i="1034" s="1"/>
  <c r="A11" i="1034" s="1"/>
  <c r="R22" i="1034"/>
  <c r="Q22" i="1034"/>
  <c r="P22" i="1034"/>
  <c r="O22" i="1034"/>
  <c r="N22" i="1034"/>
  <c r="AD20" i="1034" l="1"/>
  <c r="C17" i="1035"/>
  <c r="C17" i="1037" s="1"/>
  <c r="G17" i="1035"/>
  <c r="G17" i="1037" s="1"/>
  <c r="AH20" i="1034"/>
  <c r="AI20" i="1034" s="1"/>
  <c r="AD19" i="1034"/>
  <c r="C16" i="1035"/>
  <c r="C16" i="1037" s="1"/>
  <c r="CF20" i="1034"/>
  <c r="AF20" i="1034"/>
  <c r="BE20" i="1034"/>
  <c r="BH20" i="1034"/>
  <c r="BK20" i="1034" s="1"/>
  <c r="AE20" i="1034"/>
  <c r="AE19" i="1034"/>
  <c r="CX19" i="1034"/>
  <c r="CE19" i="1034" s="1"/>
  <c r="CY19" i="1034"/>
  <c r="CZ19" i="1034"/>
  <c r="AH19" i="1034"/>
  <c r="AI19" i="1034" s="1"/>
  <c r="AG19" i="1034"/>
  <c r="BZ19" i="1034"/>
  <c r="BY19" i="1034"/>
  <c r="BX19" i="1034"/>
  <c r="BW19" i="1034"/>
  <c r="BD19" i="1034" s="1"/>
  <c r="AF19" i="1034"/>
  <c r="CM33" i="1034"/>
  <c r="BL32" i="1034"/>
  <c r="CM31" i="1034"/>
  <c r="X35" i="1034"/>
  <c r="AG35" i="1034" s="1"/>
  <c r="CM34" i="1034"/>
  <c r="BL34" i="1034"/>
  <c r="BR34" i="1034" s="1"/>
  <c r="BL35" i="1034"/>
  <c r="CM35" i="1034"/>
  <c r="Z35" i="1034"/>
  <c r="BL33" i="1034"/>
  <c r="CM32" i="1034"/>
  <c r="BL31" i="1034"/>
  <c r="Z32" i="1034"/>
  <c r="X33" i="1034"/>
  <c r="AF33" i="1034" s="1"/>
  <c r="X32" i="1034"/>
  <c r="AE32" i="1034" s="1"/>
  <c r="BL28" i="1034"/>
  <c r="BL26" i="1034"/>
  <c r="CM30" i="1034"/>
  <c r="CS30" i="1034" s="1"/>
  <c r="CM28" i="1034"/>
  <c r="CM26" i="1034"/>
  <c r="BL30" i="1034"/>
  <c r="BR30" i="1034" s="1"/>
  <c r="CM27" i="1034"/>
  <c r="BL29" i="1034"/>
  <c r="BL27" i="1034"/>
  <c r="X26" i="1034"/>
  <c r="AE26" i="1034" s="1"/>
  <c r="Z26" i="1034"/>
  <c r="CM29" i="1034"/>
  <c r="X27" i="1034"/>
  <c r="AG27" i="1034" s="1"/>
  <c r="CM21" i="1034"/>
  <c r="BL24" i="1034"/>
  <c r="CM25" i="1034"/>
  <c r="BL25" i="1034"/>
  <c r="CM24" i="1034"/>
  <c r="BL21" i="1034"/>
  <c r="X21" i="1034"/>
  <c r="AG21" i="1034" s="1"/>
  <c r="Z21" i="1034"/>
  <c r="X25" i="1034"/>
  <c r="AD25" i="1034" s="1"/>
  <c r="CM13" i="1034"/>
  <c r="CS13" i="1034" s="1"/>
  <c r="BL15" i="1034"/>
  <c r="BL16" i="1034"/>
  <c r="BR16" i="1034" s="1"/>
  <c r="CM10" i="1034"/>
  <c r="CM11" i="1034"/>
  <c r="BL13" i="1034"/>
  <c r="BL11" i="1034"/>
  <c r="B12" i="1034"/>
  <c r="A12" i="1034"/>
  <c r="BL10" i="1034"/>
  <c r="AK10" i="1034"/>
  <c r="AR10" i="1034" s="1"/>
  <c r="AM10" i="1034"/>
  <c r="X10" i="1034"/>
  <c r="AE10" i="1034" s="1"/>
  <c r="BL14" i="1034"/>
  <c r="BL9" i="1034"/>
  <c r="BR9" i="1034" s="1"/>
  <c r="CM18" i="1034"/>
  <c r="CM8" i="1034"/>
  <c r="CM16" i="1034"/>
  <c r="BL12" i="1034"/>
  <c r="CM9" i="1034"/>
  <c r="BL8" i="1034"/>
  <c r="CM12" i="1034"/>
  <c r="BL18" i="1034"/>
  <c r="BL17" i="1034"/>
  <c r="CM14" i="1034"/>
  <c r="CM15" i="1034"/>
  <c r="CM17" i="1034"/>
  <c r="BL7" i="1034"/>
  <c r="CM7" i="1034"/>
  <c r="Y6" i="1034"/>
  <c r="U6" i="1034"/>
  <c r="R6" i="1034"/>
  <c r="Q6" i="1034"/>
  <c r="P6" i="1034"/>
  <c r="O6" i="1034"/>
  <c r="N6" i="1034"/>
  <c r="CF19" i="1034" l="1"/>
  <c r="CK19" i="1034" s="1"/>
  <c r="AK19" i="1034"/>
  <c r="G16" i="1035" s="1"/>
  <c r="G16" i="1037" s="1"/>
  <c r="BJ20" i="1034"/>
  <c r="BI20" i="1034"/>
  <c r="BF20" i="1034"/>
  <c r="BG20" i="1034"/>
  <c r="CK20" i="1034"/>
  <c r="AS20" i="1034" s="1"/>
  <c r="CJ20" i="1034"/>
  <c r="AR20" i="1034" s="1"/>
  <c r="CH20" i="1034"/>
  <c r="AQ20" i="1034" s="1"/>
  <c r="CG20" i="1034"/>
  <c r="AM20" i="1034" s="1"/>
  <c r="H17" i="1035" s="1"/>
  <c r="H17" i="1037" s="1"/>
  <c r="CI20" i="1034"/>
  <c r="BE19" i="1034"/>
  <c r="BH19" i="1034" s="1"/>
  <c r="BK19" i="1034" s="1"/>
  <c r="CI19" i="1034"/>
  <c r="CS33" i="1034"/>
  <c r="CS31" i="1034"/>
  <c r="AF35" i="1034"/>
  <c r="AE35" i="1034"/>
  <c r="AD35" i="1034"/>
  <c r="AH35" i="1034"/>
  <c r="AI35" i="1034" s="1"/>
  <c r="CR31" i="1034"/>
  <c r="BR32" i="1034"/>
  <c r="BQ32" i="1034"/>
  <c r="CS34" i="1034"/>
  <c r="AG32" i="1034"/>
  <c r="AH32" i="1034"/>
  <c r="AI32" i="1034" s="1"/>
  <c r="AH33" i="1034"/>
  <c r="AI33" i="1034" s="1"/>
  <c r="AD32" i="1034"/>
  <c r="AD33" i="1034"/>
  <c r="AF32" i="1034"/>
  <c r="AE33" i="1034"/>
  <c r="CS35" i="1034"/>
  <c r="BR35" i="1034"/>
  <c r="BR31" i="1034"/>
  <c r="CS32" i="1034"/>
  <c r="AG33" i="1034"/>
  <c r="BR33" i="1034"/>
  <c r="BR26" i="1034"/>
  <c r="BQ26" i="1034"/>
  <c r="CS26" i="1034"/>
  <c r="BR28" i="1034"/>
  <c r="BQ28" i="1034"/>
  <c r="CR26" i="1034"/>
  <c r="CR27" i="1034"/>
  <c r="AF27" i="1034"/>
  <c r="CR28" i="1034"/>
  <c r="CS27" i="1034"/>
  <c r="CS28" i="1034"/>
  <c r="BR27" i="1034"/>
  <c r="CS29" i="1034"/>
  <c r="AF26" i="1034"/>
  <c r="AG26" i="1034"/>
  <c r="AH26" i="1034"/>
  <c r="AI26" i="1034" s="1"/>
  <c r="BR29" i="1034"/>
  <c r="AH27" i="1034"/>
  <c r="AI27" i="1034" s="1"/>
  <c r="AE27" i="1034"/>
  <c r="AD27" i="1034"/>
  <c r="AD26" i="1034"/>
  <c r="CS21" i="1034"/>
  <c r="CR21" i="1034"/>
  <c r="BQ24" i="1034"/>
  <c r="BR24" i="1034"/>
  <c r="CS25" i="1034"/>
  <c r="CR10" i="1034"/>
  <c r="AD21" i="1034"/>
  <c r="CS10" i="1034"/>
  <c r="AF21" i="1034"/>
  <c r="AE21" i="1034"/>
  <c r="AH21" i="1034"/>
  <c r="AI21" i="1034" s="1"/>
  <c r="AG25" i="1034"/>
  <c r="AH25" i="1034"/>
  <c r="AI25" i="1034" s="1"/>
  <c r="BR21" i="1034"/>
  <c r="CS24" i="1034"/>
  <c r="AE25" i="1034"/>
  <c r="AF25" i="1034"/>
  <c r="BR25" i="1034"/>
  <c r="AQ10" i="1034"/>
  <c r="A13" i="1034"/>
  <c r="A14" i="1034" s="1"/>
  <c r="A15" i="1034" s="1"/>
  <c r="A16" i="1034" s="1"/>
  <c r="A17" i="1034" s="1"/>
  <c r="A18" i="1034" s="1"/>
  <c r="AT10" i="1034"/>
  <c r="B13" i="1034"/>
  <c r="B14" i="1034" s="1"/>
  <c r="B15" i="1034" s="1"/>
  <c r="B16" i="1034" s="1"/>
  <c r="B17" i="1034" s="1"/>
  <c r="B18" i="1034" s="1"/>
  <c r="BR15" i="1034"/>
  <c r="AD10" i="1034"/>
  <c r="AU10" i="1034"/>
  <c r="AV10" i="1034" s="1"/>
  <c r="CS11" i="1034"/>
  <c r="BR13" i="1034"/>
  <c r="BR11" i="1034"/>
  <c r="BR14" i="1034"/>
  <c r="AH10" i="1034"/>
  <c r="AI10" i="1034" s="1"/>
  <c r="AG10" i="1034"/>
  <c r="AF10" i="1034"/>
  <c r="BR10" i="1034"/>
  <c r="AS10" i="1034"/>
  <c r="CS8" i="1034"/>
  <c r="CS18" i="1034"/>
  <c r="CS16" i="1034"/>
  <c r="BR12" i="1034"/>
  <c r="CR16" i="1034"/>
  <c r="BQ12" i="1034"/>
  <c r="CS9" i="1034"/>
  <c r="CS15" i="1034"/>
  <c r="CS17" i="1034"/>
  <c r="CS12" i="1034"/>
  <c r="CS14" i="1034"/>
  <c r="BR18" i="1034"/>
  <c r="BR8" i="1034"/>
  <c r="BR17" i="1034"/>
  <c r="BR7" i="1034"/>
  <c r="BQ7" i="1034"/>
  <c r="CS7" i="1034"/>
  <c r="CL20" i="1034" l="1"/>
  <c r="AU20" i="1034" s="1"/>
  <c r="AV20" i="1034" s="1"/>
  <c r="AT20" i="1034"/>
  <c r="AS19" i="1034"/>
  <c r="CL19" i="1034"/>
  <c r="AU19" i="1034" s="1"/>
  <c r="AV19" i="1034" s="1"/>
  <c r="AT19" i="1034"/>
  <c r="CG19" i="1034"/>
  <c r="AM19" i="1034" s="1"/>
  <c r="H16" i="1035" s="1"/>
  <c r="H16" i="1037" s="1"/>
  <c r="CH19" i="1034"/>
  <c r="AQ19" i="1034" s="1"/>
  <c r="CJ19" i="1034"/>
  <c r="AR19" i="1034" s="1"/>
  <c r="A23" i="1034"/>
  <c r="A24" i="1034" s="1"/>
  <c r="A25" i="1034" s="1"/>
  <c r="A26" i="1034" s="1"/>
  <c r="A27" i="1034" s="1"/>
  <c r="A28" i="1034" s="1"/>
  <c r="A29" i="1034" s="1"/>
  <c r="B23" i="1034"/>
  <c r="B24" i="1034" s="1"/>
  <c r="B25" i="1034" s="1"/>
  <c r="B26" i="1034" s="1"/>
  <c r="B27" i="1034" s="1"/>
  <c r="B28" i="1034" s="1"/>
  <c r="B29" i="1034" s="1"/>
  <c r="BF19" i="1034"/>
  <c r="BJ19" i="1034"/>
  <c r="BG19" i="1034"/>
  <c r="BI19" i="1034"/>
  <c r="CW33" i="1034"/>
  <c r="CW31" i="1034"/>
  <c r="CY31" i="1034" s="1"/>
  <c r="CR33" i="1034"/>
  <c r="CR34" i="1034"/>
  <c r="CW34" i="1034"/>
  <c r="BQ34" i="1034"/>
  <c r="CR35" i="1034"/>
  <c r="BQ33" i="1034"/>
  <c r="BV26" i="1034"/>
  <c r="BW26" i="1034" s="1"/>
  <c r="BD26" i="1034" s="1"/>
  <c r="BQ31" i="1034"/>
  <c r="BV34" i="1034"/>
  <c r="CW26" i="1034"/>
  <c r="BQ35" i="1034"/>
  <c r="CR32" i="1034"/>
  <c r="BV28" i="1034"/>
  <c r="BQ30" i="1034"/>
  <c r="CW27" i="1034"/>
  <c r="CR30" i="1034"/>
  <c r="BQ27" i="1034"/>
  <c r="BV30" i="1034"/>
  <c r="CW30" i="1034"/>
  <c r="BQ29" i="1034"/>
  <c r="CR29" i="1034"/>
  <c r="CW21" i="1034"/>
  <c r="CY21" i="1034" s="1"/>
  <c r="CW25" i="1034"/>
  <c r="BV24" i="1034"/>
  <c r="CW10" i="1034"/>
  <c r="CX10" i="1034" s="1"/>
  <c r="CE10" i="1034" s="1"/>
  <c r="CF10" i="1034" s="1"/>
  <c r="CR25" i="1034"/>
  <c r="BQ16" i="1034"/>
  <c r="BQ21" i="1034"/>
  <c r="CR11" i="1034"/>
  <c r="BQ25" i="1034"/>
  <c r="CR24" i="1034"/>
  <c r="CR13" i="1034"/>
  <c r="CW11" i="1034"/>
  <c r="BQ15" i="1034"/>
  <c r="CW13" i="1034"/>
  <c r="BQ14" i="1034"/>
  <c r="BV15" i="1034"/>
  <c r="BV14" i="1034"/>
  <c r="BQ9" i="1034"/>
  <c r="CR18" i="1034"/>
  <c r="CW8" i="1034"/>
  <c r="BQ13" i="1034"/>
  <c r="BQ11" i="1034"/>
  <c r="BV12" i="1034"/>
  <c r="CR8" i="1034"/>
  <c r="BQ10" i="1034"/>
  <c r="CR14" i="1034"/>
  <c r="CW16" i="1034"/>
  <c r="CY16" i="1034" s="1"/>
  <c r="BQ8" i="1034"/>
  <c r="BQ18" i="1034"/>
  <c r="CR17" i="1034"/>
  <c r="BV9" i="1034"/>
  <c r="CR12" i="1034"/>
  <c r="CR15" i="1034"/>
  <c r="CR9" i="1034"/>
  <c r="BQ17" i="1034"/>
  <c r="BV16" i="1034"/>
  <c r="CR7" i="1034"/>
  <c r="CW7" i="1034"/>
  <c r="I3" i="1037"/>
  <c r="I32" i="1037"/>
  <c r="E32" i="1037"/>
  <c r="I31" i="1037"/>
  <c r="E31" i="1037"/>
  <c r="I30" i="1037"/>
  <c r="E30" i="1037"/>
  <c r="I29" i="1037"/>
  <c r="E29" i="1037"/>
  <c r="I28" i="1037"/>
  <c r="E28" i="1037"/>
  <c r="I27" i="1037"/>
  <c r="E27" i="1037"/>
  <c r="I26" i="1037"/>
  <c r="E26" i="1037"/>
  <c r="I25" i="1037"/>
  <c r="E25" i="1037"/>
  <c r="I24" i="1037"/>
  <c r="E24" i="1037"/>
  <c r="I23" i="1037"/>
  <c r="E23" i="1037"/>
  <c r="I22" i="1037"/>
  <c r="E22" i="1037"/>
  <c r="I21" i="1037"/>
  <c r="E21" i="1037"/>
  <c r="I20" i="1037"/>
  <c r="E20" i="1037"/>
  <c r="I19" i="1037"/>
  <c r="E19" i="1037"/>
  <c r="I14" i="1037"/>
  <c r="E14" i="1037"/>
  <c r="I13" i="1037"/>
  <c r="E13" i="1037"/>
  <c r="I12" i="1037"/>
  <c r="E12" i="1037"/>
  <c r="I11" i="1037"/>
  <c r="E11" i="1037"/>
  <c r="I10" i="1037"/>
  <c r="E10" i="1037"/>
  <c r="I9" i="1037"/>
  <c r="E9" i="1037"/>
  <c r="I8" i="1037"/>
  <c r="E8" i="1037"/>
  <c r="I7" i="1037"/>
  <c r="E7" i="1037"/>
  <c r="I6" i="1037"/>
  <c r="E6" i="1037"/>
  <c r="I5" i="1037"/>
  <c r="E5" i="1037"/>
  <c r="I4" i="1037"/>
  <c r="E4" i="1037"/>
  <c r="E3" i="1037"/>
  <c r="B30" i="1034" l="1"/>
  <c r="B31" i="1034" s="1"/>
  <c r="B32" i="1034" s="1"/>
  <c r="B33" i="1034" s="1"/>
  <c r="B34" i="1034" s="1"/>
  <c r="B35" i="1034" s="1"/>
  <c r="A30" i="1034"/>
  <c r="A31" i="1034" s="1"/>
  <c r="A32" i="1034" s="1"/>
  <c r="A33" i="1034" s="1"/>
  <c r="A34" i="1034" s="1"/>
  <c r="A35" i="1034" s="1"/>
  <c r="BV32" i="1034"/>
  <c r="BZ32" i="1034" s="1"/>
  <c r="BZ30" i="1034"/>
  <c r="BX34" i="1034"/>
  <c r="CY30" i="1034"/>
  <c r="BZ34" i="1034"/>
  <c r="BV31" i="1034"/>
  <c r="BX31" i="1034" s="1"/>
  <c r="CZ31" i="1034"/>
  <c r="BY34" i="1034"/>
  <c r="BW34" i="1034"/>
  <c r="BD34" i="1034" s="1"/>
  <c r="X34" i="1034" s="1"/>
  <c r="BV33" i="1034"/>
  <c r="BZ33" i="1034" s="1"/>
  <c r="CW32" i="1034"/>
  <c r="CY32" i="1034" s="1"/>
  <c r="CW35" i="1034"/>
  <c r="DA34" i="1034"/>
  <c r="CZ34" i="1034"/>
  <c r="CX34" i="1034"/>
  <c r="CE34" i="1034" s="1"/>
  <c r="CY34" i="1034"/>
  <c r="BV35" i="1034"/>
  <c r="BY35" i="1034" s="1"/>
  <c r="CX31" i="1034"/>
  <c r="CE31" i="1034" s="1"/>
  <c r="DA31" i="1034"/>
  <c r="BY32" i="1034"/>
  <c r="CX33" i="1034"/>
  <c r="CE33" i="1034" s="1"/>
  <c r="CZ33" i="1034"/>
  <c r="DA33" i="1034"/>
  <c r="CY33" i="1034"/>
  <c r="DA26" i="1034"/>
  <c r="BY26" i="1034"/>
  <c r="BZ26" i="1034"/>
  <c r="BX26" i="1034"/>
  <c r="DA30" i="1034"/>
  <c r="CZ30" i="1034"/>
  <c r="CX30" i="1034"/>
  <c r="CE30" i="1034" s="1"/>
  <c r="AK30" i="1034" s="1"/>
  <c r="CW28" i="1034"/>
  <c r="DA28" i="1034" s="1"/>
  <c r="BV29" i="1034"/>
  <c r="BY29" i="1034" s="1"/>
  <c r="BY30" i="1034"/>
  <c r="BW30" i="1034"/>
  <c r="BD30" i="1034" s="1"/>
  <c r="BX30" i="1034"/>
  <c r="BV27" i="1034"/>
  <c r="BX27" i="1034" s="1"/>
  <c r="CZ26" i="1034"/>
  <c r="CX26" i="1034"/>
  <c r="CE26" i="1034" s="1"/>
  <c r="CY26" i="1034"/>
  <c r="CW29" i="1034"/>
  <c r="CX29" i="1034" s="1"/>
  <c r="CE29" i="1034" s="1"/>
  <c r="CF29" i="1034" s="1"/>
  <c r="BW28" i="1034"/>
  <c r="BD28" i="1034" s="1"/>
  <c r="X28" i="1034" s="1"/>
  <c r="BZ28" i="1034"/>
  <c r="BX28" i="1034"/>
  <c r="BY28" i="1034"/>
  <c r="BE26" i="1034"/>
  <c r="BH26" i="1034" s="1"/>
  <c r="BK26" i="1034" s="1"/>
  <c r="DA27" i="1034"/>
  <c r="CY27" i="1034"/>
  <c r="CX27" i="1034"/>
  <c r="CE27" i="1034" s="1"/>
  <c r="CZ27" i="1034"/>
  <c r="CX21" i="1034"/>
  <c r="CE21" i="1034" s="1"/>
  <c r="CF21" i="1034" s="1"/>
  <c r="CI21" i="1034" s="1"/>
  <c r="DA25" i="1034"/>
  <c r="CY25" i="1034"/>
  <c r="CZ25" i="1034"/>
  <c r="DA21" i="1034"/>
  <c r="CZ21" i="1034"/>
  <c r="CX25" i="1034"/>
  <c r="CE25" i="1034" s="1"/>
  <c r="CF25" i="1034" s="1"/>
  <c r="CI25" i="1034" s="1"/>
  <c r="BV21" i="1034"/>
  <c r="BY21" i="1034" s="1"/>
  <c r="BV25" i="1034"/>
  <c r="BY25" i="1034" s="1"/>
  <c r="CX13" i="1034"/>
  <c r="CE13" i="1034" s="1"/>
  <c r="CF13" i="1034" s="1"/>
  <c r="CG13" i="1034" s="1"/>
  <c r="AM13" i="1034" s="1"/>
  <c r="CW24" i="1034"/>
  <c r="DA24" i="1034" s="1"/>
  <c r="CZ13" i="1034"/>
  <c r="BW24" i="1034"/>
  <c r="BD24" i="1034" s="1"/>
  <c r="X24" i="1034" s="1"/>
  <c r="BZ24" i="1034"/>
  <c r="BX24" i="1034"/>
  <c r="BY24" i="1034"/>
  <c r="DA11" i="1034"/>
  <c r="CZ11" i="1034"/>
  <c r="CY13" i="1034"/>
  <c r="DA13" i="1034"/>
  <c r="CY11" i="1034"/>
  <c r="CX11" i="1034"/>
  <c r="CE11" i="1034" s="1"/>
  <c r="CF11" i="1034" s="1"/>
  <c r="BX14" i="1034"/>
  <c r="CX8" i="1034"/>
  <c r="CE8" i="1034" s="1"/>
  <c r="CF8" i="1034" s="1"/>
  <c r="BW15" i="1034"/>
  <c r="BD15" i="1034" s="1"/>
  <c r="X15" i="1034" s="1"/>
  <c r="CY10" i="1034"/>
  <c r="CH10" i="1034" s="1"/>
  <c r="CZ10" i="1034"/>
  <c r="CJ10" i="1034" s="1"/>
  <c r="BV13" i="1034"/>
  <c r="BY13" i="1034" s="1"/>
  <c r="BV11" i="1034"/>
  <c r="BY11" i="1034" s="1"/>
  <c r="DA10" i="1034"/>
  <c r="CK10" i="1034" s="1"/>
  <c r="BX15" i="1034"/>
  <c r="BZ14" i="1034"/>
  <c r="BV7" i="1034"/>
  <c r="BX7" i="1034" s="1"/>
  <c r="BX12" i="1034"/>
  <c r="BZ12" i="1034"/>
  <c r="BW12" i="1034"/>
  <c r="BD12" i="1034" s="1"/>
  <c r="X12" i="1034" s="1"/>
  <c r="BY12" i="1034"/>
  <c r="DA16" i="1034"/>
  <c r="BY14" i="1034"/>
  <c r="CZ16" i="1034"/>
  <c r="CW17" i="1034"/>
  <c r="CX17" i="1034" s="1"/>
  <c r="CE17" i="1034" s="1"/>
  <c r="CF17" i="1034" s="1"/>
  <c r="CI17" i="1034" s="1"/>
  <c r="BW14" i="1034"/>
  <c r="BD14" i="1034" s="1"/>
  <c r="CX16" i="1034"/>
  <c r="CE16" i="1034" s="1"/>
  <c r="CG10" i="1034"/>
  <c r="BV10" i="1034"/>
  <c r="CI10" i="1034"/>
  <c r="CL10" i="1034" s="1"/>
  <c r="CW18" i="1034"/>
  <c r="CW9" i="1034"/>
  <c r="DA9" i="1034" s="1"/>
  <c r="BV17" i="1034"/>
  <c r="BY17" i="1034" s="1"/>
  <c r="BV18" i="1034"/>
  <c r="BW18" i="1034" s="1"/>
  <c r="BD18" i="1034" s="1"/>
  <c r="BE18" i="1034" s="1"/>
  <c r="BH18" i="1034" s="1"/>
  <c r="BY15" i="1034"/>
  <c r="BZ15" i="1034"/>
  <c r="CY8" i="1034"/>
  <c r="BV8" i="1034"/>
  <c r="BZ8" i="1034" s="1"/>
  <c r="CW14" i="1034"/>
  <c r="CW12" i="1034"/>
  <c r="CX12" i="1034" s="1"/>
  <c r="CE12" i="1034" s="1"/>
  <c r="CW15" i="1034"/>
  <c r="CX15" i="1034" s="1"/>
  <c r="CE15" i="1034" s="1"/>
  <c r="CZ8" i="1034"/>
  <c r="DA8" i="1034"/>
  <c r="BX16" i="1034"/>
  <c r="BW16" i="1034"/>
  <c r="BD16" i="1034" s="1"/>
  <c r="BY16" i="1034"/>
  <c r="BZ16" i="1034"/>
  <c r="BZ9" i="1034"/>
  <c r="BY9" i="1034"/>
  <c r="BW9" i="1034"/>
  <c r="BD9" i="1034" s="1"/>
  <c r="BX9" i="1034"/>
  <c r="DA7" i="1034"/>
  <c r="CY7" i="1034"/>
  <c r="CX7" i="1034"/>
  <c r="CE7" i="1034" s="1"/>
  <c r="CF7" i="1034" s="1"/>
  <c r="CZ7" i="1034"/>
  <c r="R5" i="9"/>
  <c r="I4" i="1035"/>
  <c r="I5" i="1035"/>
  <c r="I6" i="1035"/>
  <c r="I7" i="1035"/>
  <c r="I8" i="1035"/>
  <c r="I9" i="1035"/>
  <c r="I10" i="1035"/>
  <c r="I11" i="1035"/>
  <c r="I12" i="1035"/>
  <c r="I13" i="1035"/>
  <c r="I14" i="1035"/>
  <c r="I15" i="1035"/>
  <c r="I18" i="1035"/>
  <c r="I19" i="1035"/>
  <c r="I20" i="1035"/>
  <c r="I21" i="1035"/>
  <c r="I22" i="1035"/>
  <c r="I23" i="1035"/>
  <c r="I24" i="1035"/>
  <c r="I25" i="1035"/>
  <c r="I26" i="1035"/>
  <c r="I27" i="1035"/>
  <c r="I28" i="1035"/>
  <c r="I29" i="1035"/>
  <c r="I30" i="1035"/>
  <c r="I31" i="1035"/>
  <c r="I32" i="1035"/>
  <c r="I3" i="1035"/>
  <c r="E4" i="1035"/>
  <c r="E5" i="1035"/>
  <c r="E6" i="1035"/>
  <c r="E7" i="1035"/>
  <c r="E8" i="1035"/>
  <c r="E9" i="1035"/>
  <c r="E10" i="1035"/>
  <c r="E11" i="1035"/>
  <c r="E12" i="1035"/>
  <c r="E13" i="1035"/>
  <c r="E14" i="1035"/>
  <c r="E15" i="1035"/>
  <c r="E18" i="1035"/>
  <c r="E19" i="1035"/>
  <c r="E20" i="1035"/>
  <c r="E21" i="1035"/>
  <c r="E22" i="1035"/>
  <c r="E23" i="1035"/>
  <c r="E24" i="1035"/>
  <c r="E25" i="1035"/>
  <c r="E26" i="1035"/>
  <c r="E27" i="1035"/>
  <c r="E28" i="1035"/>
  <c r="E29" i="1035"/>
  <c r="E30" i="1035"/>
  <c r="E31" i="1035"/>
  <c r="E32" i="1035"/>
  <c r="E3" i="1035"/>
  <c r="CD22" i="1034"/>
  <c r="T22" i="1034"/>
  <c r="S22" i="1034"/>
  <c r="BA22" i="1034"/>
  <c r="BB22" i="1034"/>
  <c r="BC22" i="1034"/>
  <c r="M22" i="1034"/>
  <c r="L22" i="1034"/>
  <c r="K22" i="1034"/>
  <c r="J22" i="1034"/>
  <c r="I22" i="1034"/>
  <c r="H22" i="1034"/>
  <c r="CD6" i="1034"/>
  <c r="T6" i="1034"/>
  <c r="CC6" i="1034" s="1"/>
  <c r="S6" i="1034"/>
  <c r="M6" i="1034"/>
  <c r="L6" i="1034"/>
  <c r="K6" i="1034"/>
  <c r="J6" i="1034"/>
  <c r="I6" i="1034"/>
  <c r="H6" i="1034"/>
  <c r="U23" i="1034"/>
  <c r="T23" i="1034"/>
  <c r="S23" i="1034"/>
  <c r="R23" i="1034"/>
  <c r="Q23" i="1034"/>
  <c r="P23" i="1034"/>
  <c r="O23" i="1034"/>
  <c r="BB23" i="1034" s="1"/>
  <c r="N23" i="1034"/>
  <c r="M23" i="1034"/>
  <c r="L23" i="1034"/>
  <c r="K23" i="1034"/>
  <c r="J23" i="1034"/>
  <c r="I23" i="1034"/>
  <c r="H23" i="1034"/>
  <c r="S426" i="1036"/>
  <c r="T426" i="1036" s="1"/>
  <c r="S425" i="1036"/>
  <c r="T425" i="1036" s="1"/>
  <c r="S424" i="1036"/>
  <c r="T424" i="1036" s="1"/>
  <c r="S423" i="1036"/>
  <c r="T423" i="1036" s="1"/>
  <c r="S422" i="1036"/>
  <c r="T422" i="1036" s="1"/>
  <c r="S421" i="1036"/>
  <c r="T421" i="1036" s="1"/>
  <c r="S420" i="1036"/>
  <c r="T420" i="1036" s="1"/>
  <c r="S419" i="1036"/>
  <c r="T419" i="1036" s="1"/>
  <c r="S418" i="1036"/>
  <c r="T418" i="1036" s="1"/>
  <c r="S417" i="1036"/>
  <c r="T417" i="1036" s="1"/>
  <c r="S416" i="1036"/>
  <c r="T416" i="1036" s="1"/>
  <c r="S415" i="1036"/>
  <c r="T415" i="1036" s="1"/>
  <c r="S414" i="1036"/>
  <c r="T414" i="1036" s="1"/>
  <c r="U413" i="1036"/>
  <c r="S413" i="1036"/>
  <c r="T413" i="1036" s="1"/>
  <c r="S412" i="1036"/>
  <c r="T412" i="1036" s="1"/>
  <c r="S411" i="1036"/>
  <c r="T411" i="1036" s="1"/>
  <c r="S410" i="1036"/>
  <c r="T410" i="1036" s="1"/>
  <c r="S409" i="1036"/>
  <c r="T409" i="1036" s="1"/>
  <c r="S408" i="1036"/>
  <c r="T408" i="1036" s="1"/>
  <c r="S407" i="1036"/>
  <c r="T407" i="1036" s="1"/>
  <c r="S406" i="1036"/>
  <c r="T406" i="1036" s="1"/>
  <c r="S405" i="1036"/>
  <c r="T405" i="1036" s="1"/>
  <c r="S404" i="1036"/>
  <c r="T404" i="1036" s="1"/>
  <c r="S403" i="1036"/>
  <c r="T403" i="1036" s="1"/>
  <c r="S402" i="1036"/>
  <c r="T402" i="1036" s="1"/>
  <c r="S401" i="1036"/>
  <c r="T401" i="1036" s="1"/>
  <c r="S400" i="1036"/>
  <c r="T400" i="1036" s="1"/>
  <c r="S399" i="1036"/>
  <c r="T399" i="1036" s="1"/>
  <c r="S398" i="1036"/>
  <c r="T398" i="1036" s="1"/>
  <c r="S397" i="1036"/>
  <c r="T397" i="1036" s="1"/>
  <c r="S396" i="1036"/>
  <c r="T396" i="1036" s="1"/>
  <c r="S395" i="1036"/>
  <c r="T395" i="1036" s="1"/>
  <c r="S394" i="1036"/>
  <c r="T394" i="1036" s="1"/>
  <c r="S393" i="1036"/>
  <c r="T393" i="1036" s="1"/>
  <c r="S392" i="1036"/>
  <c r="T392" i="1036" s="1"/>
  <c r="S391" i="1036"/>
  <c r="T391" i="1036" s="1"/>
  <c r="S390" i="1036"/>
  <c r="T390" i="1036" s="1"/>
  <c r="S389" i="1036"/>
  <c r="T389" i="1036" s="1"/>
  <c r="S388" i="1036"/>
  <c r="T388" i="1036" s="1"/>
  <c r="S387" i="1036"/>
  <c r="T387" i="1036" s="1"/>
  <c r="S386" i="1036"/>
  <c r="T386" i="1036" s="1"/>
  <c r="S385" i="1036"/>
  <c r="T385" i="1036" s="1"/>
  <c r="S384" i="1036"/>
  <c r="T384" i="1036" s="1"/>
  <c r="S383" i="1036"/>
  <c r="T383" i="1036" s="1"/>
  <c r="S382" i="1036"/>
  <c r="T382" i="1036" s="1"/>
  <c r="S381" i="1036"/>
  <c r="T381" i="1036" s="1"/>
  <c r="S380" i="1036"/>
  <c r="T380" i="1036" s="1"/>
  <c r="U379" i="1036"/>
  <c r="S379" i="1036"/>
  <c r="T379" i="1036" s="1"/>
  <c r="S378" i="1036"/>
  <c r="T378" i="1036" s="1"/>
  <c r="S377" i="1036"/>
  <c r="T377" i="1036" s="1"/>
  <c r="S376" i="1036"/>
  <c r="T376" i="1036" s="1"/>
  <c r="S375" i="1036"/>
  <c r="T375" i="1036" s="1"/>
  <c r="S374" i="1036"/>
  <c r="T374" i="1036" s="1"/>
  <c r="S373" i="1036"/>
  <c r="T373" i="1036" s="1"/>
  <c r="S372" i="1036"/>
  <c r="T372" i="1036" s="1"/>
  <c r="S371" i="1036"/>
  <c r="T371" i="1036" s="1"/>
  <c r="S370" i="1036"/>
  <c r="T370" i="1036" s="1"/>
  <c r="S369" i="1036"/>
  <c r="T369" i="1036" s="1"/>
  <c r="S368" i="1036"/>
  <c r="T368" i="1036" s="1"/>
  <c r="S367" i="1036"/>
  <c r="T367" i="1036" s="1"/>
  <c r="S366" i="1036"/>
  <c r="T366" i="1036" s="1"/>
  <c r="S365" i="1036"/>
  <c r="T365" i="1036" s="1"/>
  <c r="S364" i="1036"/>
  <c r="T364" i="1036" s="1"/>
  <c r="S363" i="1036"/>
  <c r="T363" i="1036" s="1"/>
  <c r="S362" i="1036"/>
  <c r="T362" i="1036" s="1"/>
  <c r="S361" i="1036"/>
  <c r="T361" i="1036" s="1"/>
  <c r="S360" i="1036"/>
  <c r="T360" i="1036" s="1"/>
  <c r="S359" i="1036"/>
  <c r="T359" i="1036" s="1"/>
  <c r="S358" i="1036"/>
  <c r="T358" i="1036" s="1"/>
  <c r="S357" i="1036"/>
  <c r="T357" i="1036" s="1"/>
  <c r="S356" i="1036"/>
  <c r="T356" i="1036" s="1"/>
  <c r="S355" i="1036"/>
  <c r="T355" i="1036" s="1"/>
  <c r="S354" i="1036"/>
  <c r="T354" i="1036" s="1"/>
  <c r="S353" i="1036"/>
  <c r="T353" i="1036" s="1"/>
  <c r="S352" i="1036"/>
  <c r="T352" i="1036" s="1"/>
  <c r="S351" i="1036"/>
  <c r="T351" i="1036" s="1"/>
  <c r="S350" i="1036"/>
  <c r="T350" i="1036" s="1"/>
  <c r="S349" i="1036"/>
  <c r="T349" i="1036" s="1"/>
  <c r="S348" i="1036"/>
  <c r="T348" i="1036" s="1"/>
  <c r="S347" i="1036"/>
  <c r="T347" i="1036" s="1"/>
  <c r="S346" i="1036"/>
  <c r="T346" i="1036" s="1"/>
  <c r="S345" i="1036"/>
  <c r="T345" i="1036" s="1"/>
  <c r="S344" i="1036"/>
  <c r="T344" i="1036" s="1"/>
  <c r="S343" i="1036"/>
  <c r="T343" i="1036" s="1"/>
  <c r="S342" i="1036"/>
  <c r="T342" i="1036" s="1"/>
  <c r="S341" i="1036"/>
  <c r="T341" i="1036" s="1"/>
  <c r="S340" i="1036"/>
  <c r="T340" i="1036" s="1"/>
  <c r="S339" i="1036"/>
  <c r="T339" i="1036" s="1"/>
  <c r="S338" i="1036"/>
  <c r="T338" i="1036" s="1"/>
  <c r="S337" i="1036"/>
  <c r="T337" i="1036" s="1"/>
  <c r="S336" i="1036"/>
  <c r="T336" i="1036" s="1"/>
  <c r="S335" i="1036"/>
  <c r="T335" i="1036" s="1"/>
  <c r="S334" i="1036"/>
  <c r="T334" i="1036" s="1"/>
  <c r="S333" i="1036"/>
  <c r="T333" i="1036" s="1"/>
  <c r="S332" i="1036"/>
  <c r="T332" i="1036" s="1"/>
  <c r="S331" i="1036"/>
  <c r="T331" i="1036" s="1"/>
  <c r="S330" i="1036"/>
  <c r="T330" i="1036" s="1"/>
  <c r="S329" i="1036"/>
  <c r="T329" i="1036" s="1"/>
  <c r="S328" i="1036"/>
  <c r="T328" i="1036" s="1"/>
  <c r="S327" i="1036"/>
  <c r="T327" i="1036" s="1"/>
  <c r="S326" i="1036"/>
  <c r="T326" i="1036" s="1"/>
  <c r="S325" i="1036"/>
  <c r="T325" i="1036" s="1"/>
  <c r="S324" i="1036"/>
  <c r="T324" i="1036" s="1"/>
  <c r="S323" i="1036"/>
  <c r="T323" i="1036" s="1"/>
  <c r="S322" i="1036"/>
  <c r="T322" i="1036" s="1"/>
  <c r="S321" i="1036"/>
  <c r="T321" i="1036" s="1"/>
  <c r="S320" i="1036"/>
  <c r="T320" i="1036" s="1"/>
  <c r="S319" i="1036"/>
  <c r="T319" i="1036" s="1"/>
  <c r="S318" i="1036"/>
  <c r="T318" i="1036" s="1"/>
  <c r="S317" i="1036"/>
  <c r="T317" i="1036" s="1"/>
  <c r="S316" i="1036"/>
  <c r="T316" i="1036" s="1"/>
  <c r="S315" i="1036"/>
  <c r="T315" i="1036" s="1"/>
  <c r="S314" i="1036"/>
  <c r="T314" i="1036" s="1"/>
  <c r="S313" i="1036"/>
  <c r="T313" i="1036" s="1"/>
  <c r="S312" i="1036"/>
  <c r="T312" i="1036" s="1"/>
  <c r="S311" i="1036"/>
  <c r="T311" i="1036" s="1"/>
  <c r="S310" i="1036"/>
  <c r="T310" i="1036" s="1"/>
  <c r="S309" i="1036"/>
  <c r="T309" i="1036" s="1"/>
  <c r="S308" i="1036"/>
  <c r="T308" i="1036" s="1"/>
  <c r="S307" i="1036"/>
  <c r="T307" i="1036" s="1"/>
  <c r="S306" i="1036"/>
  <c r="T306" i="1036" s="1"/>
  <c r="S305" i="1036"/>
  <c r="T305" i="1036" s="1"/>
  <c r="S304" i="1036"/>
  <c r="T304" i="1036" s="1"/>
  <c r="S303" i="1036"/>
  <c r="T303" i="1036" s="1"/>
  <c r="S302" i="1036"/>
  <c r="T302" i="1036" s="1"/>
  <c r="S301" i="1036"/>
  <c r="T301" i="1036" s="1"/>
  <c r="S300" i="1036"/>
  <c r="T300" i="1036" s="1"/>
  <c r="S299" i="1036"/>
  <c r="T299" i="1036" s="1"/>
  <c r="S298" i="1036"/>
  <c r="T298" i="1036" s="1"/>
  <c r="S297" i="1036"/>
  <c r="T297" i="1036" s="1"/>
  <c r="S296" i="1036"/>
  <c r="T296" i="1036" s="1"/>
  <c r="S295" i="1036"/>
  <c r="T295" i="1036" s="1"/>
  <c r="S294" i="1036"/>
  <c r="T294" i="1036" s="1"/>
  <c r="S293" i="1036"/>
  <c r="T293" i="1036" s="1"/>
  <c r="S292" i="1036"/>
  <c r="T292" i="1036" s="1"/>
  <c r="S291" i="1036"/>
  <c r="T291" i="1036" s="1"/>
  <c r="S290" i="1036"/>
  <c r="T290" i="1036" s="1"/>
  <c r="S289" i="1036"/>
  <c r="T289" i="1036" s="1"/>
  <c r="S288" i="1036"/>
  <c r="T288" i="1036" s="1"/>
  <c r="S287" i="1036"/>
  <c r="T287" i="1036" s="1"/>
  <c r="S286" i="1036"/>
  <c r="T286" i="1036" s="1"/>
  <c r="S285" i="1036"/>
  <c r="T285" i="1036" s="1"/>
  <c r="S284" i="1036"/>
  <c r="T284" i="1036" s="1"/>
  <c r="S283" i="1036"/>
  <c r="T283" i="1036" s="1"/>
  <c r="S282" i="1036"/>
  <c r="T282" i="1036" s="1"/>
  <c r="S281" i="1036"/>
  <c r="T281" i="1036" s="1"/>
  <c r="S280" i="1036"/>
  <c r="T280" i="1036" s="1"/>
  <c r="S279" i="1036"/>
  <c r="T279" i="1036" s="1"/>
  <c r="S278" i="1036"/>
  <c r="T278" i="1036" s="1"/>
  <c r="S277" i="1036"/>
  <c r="T277" i="1036" s="1"/>
  <c r="S276" i="1036"/>
  <c r="T276" i="1036" s="1"/>
  <c r="S275" i="1036"/>
  <c r="T275" i="1036" s="1"/>
  <c r="S274" i="1036"/>
  <c r="T274" i="1036" s="1"/>
  <c r="S273" i="1036"/>
  <c r="T273" i="1036" s="1"/>
  <c r="S272" i="1036"/>
  <c r="T272" i="1036" s="1"/>
  <c r="S271" i="1036"/>
  <c r="T271" i="1036" s="1"/>
  <c r="S270" i="1036"/>
  <c r="T270" i="1036" s="1"/>
  <c r="S269" i="1036"/>
  <c r="T269" i="1036" s="1"/>
  <c r="S268" i="1036"/>
  <c r="T268" i="1036" s="1"/>
  <c r="S267" i="1036"/>
  <c r="T267" i="1036" s="1"/>
  <c r="S266" i="1036"/>
  <c r="T266" i="1036" s="1"/>
  <c r="S265" i="1036"/>
  <c r="T265" i="1036" s="1"/>
  <c r="S264" i="1036"/>
  <c r="T264" i="1036" s="1"/>
  <c r="S263" i="1036"/>
  <c r="T263" i="1036" s="1"/>
  <c r="S262" i="1036"/>
  <c r="T262" i="1036" s="1"/>
  <c r="S261" i="1036"/>
  <c r="T261" i="1036" s="1"/>
  <c r="S260" i="1036"/>
  <c r="T260" i="1036" s="1"/>
  <c r="S259" i="1036"/>
  <c r="T259" i="1036" s="1"/>
  <c r="S258" i="1036"/>
  <c r="T258" i="1036" s="1"/>
  <c r="S257" i="1036"/>
  <c r="T257" i="1036" s="1"/>
  <c r="S256" i="1036"/>
  <c r="T256" i="1036" s="1"/>
  <c r="S255" i="1036"/>
  <c r="T255" i="1036" s="1"/>
  <c r="S254" i="1036"/>
  <c r="T254" i="1036" s="1"/>
  <c r="S253" i="1036"/>
  <c r="T253" i="1036" s="1"/>
  <c r="S252" i="1036"/>
  <c r="T252" i="1036" s="1"/>
  <c r="S251" i="1036"/>
  <c r="T251" i="1036" s="1"/>
  <c r="S250" i="1036"/>
  <c r="T250" i="1036" s="1"/>
  <c r="S249" i="1036"/>
  <c r="T249" i="1036" s="1"/>
  <c r="S248" i="1036"/>
  <c r="T248" i="1036" s="1"/>
  <c r="S247" i="1036"/>
  <c r="T247" i="1036" s="1"/>
  <c r="S246" i="1036"/>
  <c r="T246" i="1036" s="1"/>
  <c r="S245" i="1036"/>
  <c r="T245" i="1036" s="1"/>
  <c r="S244" i="1036"/>
  <c r="T244" i="1036" s="1"/>
  <c r="S243" i="1036"/>
  <c r="T243" i="1036" s="1"/>
  <c r="S242" i="1036"/>
  <c r="T242" i="1036" s="1"/>
  <c r="S241" i="1036"/>
  <c r="T241" i="1036" s="1"/>
  <c r="S240" i="1036"/>
  <c r="T240" i="1036" s="1"/>
  <c r="S239" i="1036"/>
  <c r="T239" i="1036" s="1"/>
  <c r="S238" i="1036"/>
  <c r="T238" i="1036" s="1"/>
  <c r="S237" i="1036"/>
  <c r="T237" i="1036" s="1"/>
  <c r="S236" i="1036"/>
  <c r="T236" i="1036" s="1"/>
  <c r="S235" i="1036"/>
  <c r="T235" i="1036" s="1"/>
  <c r="S234" i="1036"/>
  <c r="T234" i="1036" s="1"/>
  <c r="S233" i="1036"/>
  <c r="T233" i="1036" s="1"/>
  <c r="S232" i="1036"/>
  <c r="T232" i="1036" s="1"/>
  <c r="S231" i="1036"/>
  <c r="T231" i="1036" s="1"/>
  <c r="S230" i="1036"/>
  <c r="T230" i="1036" s="1"/>
  <c r="S229" i="1036"/>
  <c r="T229" i="1036" s="1"/>
  <c r="S228" i="1036"/>
  <c r="T228" i="1036" s="1"/>
  <c r="S227" i="1036"/>
  <c r="T227" i="1036" s="1"/>
  <c r="S226" i="1036"/>
  <c r="T226" i="1036" s="1"/>
  <c r="S225" i="1036"/>
  <c r="T225" i="1036" s="1"/>
  <c r="S224" i="1036"/>
  <c r="T224" i="1036" s="1"/>
  <c r="S223" i="1036"/>
  <c r="T223" i="1036" s="1"/>
  <c r="S222" i="1036"/>
  <c r="T222" i="1036" s="1"/>
  <c r="S221" i="1036"/>
  <c r="T221" i="1036" s="1"/>
  <c r="S220" i="1036"/>
  <c r="T220" i="1036" s="1"/>
  <c r="S219" i="1036"/>
  <c r="T219" i="1036" s="1"/>
  <c r="S218" i="1036"/>
  <c r="T218" i="1036" s="1"/>
  <c r="S217" i="1036"/>
  <c r="T217" i="1036" s="1"/>
  <c r="S216" i="1036"/>
  <c r="T216" i="1036" s="1"/>
  <c r="S215" i="1036"/>
  <c r="T215" i="1036" s="1"/>
  <c r="S214" i="1036"/>
  <c r="T214" i="1036" s="1"/>
  <c r="S213" i="1036"/>
  <c r="T213" i="1036" s="1"/>
  <c r="S212" i="1036"/>
  <c r="T212" i="1036" s="1"/>
  <c r="S211" i="1036"/>
  <c r="T211" i="1036" s="1"/>
  <c r="S210" i="1036"/>
  <c r="T210" i="1036" s="1"/>
  <c r="S209" i="1036"/>
  <c r="T209" i="1036" s="1"/>
  <c r="S208" i="1036"/>
  <c r="T208" i="1036" s="1"/>
  <c r="S207" i="1036"/>
  <c r="T207" i="1036" s="1"/>
  <c r="S206" i="1036"/>
  <c r="T206" i="1036" s="1"/>
  <c r="S205" i="1036"/>
  <c r="T205" i="1036" s="1"/>
  <c r="S204" i="1036"/>
  <c r="T204" i="1036" s="1"/>
  <c r="S203" i="1036"/>
  <c r="T203" i="1036" s="1"/>
  <c r="S202" i="1036"/>
  <c r="T202" i="1036" s="1"/>
  <c r="S201" i="1036"/>
  <c r="T201" i="1036" s="1"/>
  <c r="S200" i="1036"/>
  <c r="T200" i="1036" s="1"/>
  <c r="S199" i="1036"/>
  <c r="T199" i="1036" s="1"/>
  <c r="S198" i="1036"/>
  <c r="T198" i="1036" s="1"/>
  <c r="S197" i="1036"/>
  <c r="T197" i="1036" s="1"/>
  <c r="S196" i="1036"/>
  <c r="T196" i="1036" s="1"/>
  <c r="S195" i="1036"/>
  <c r="T195" i="1036" s="1"/>
  <c r="S194" i="1036"/>
  <c r="T194" i="1036" s="1"/>
  <c r="S193" i="1036"/>
  <c r="T193" i="1036" s="1"/>
  <c r="S192" i="1036"/>
  <c r="T192" i="1036" s="1"/>
  <c r="S191" i="1036"/>
  <c r="T191" i="1036" s="1"/>
  <c r="S190" i="1036"/>
  <c r="T190" i="1036" s="1"/>
  <c r="S189" i="1036"/>
  <c r="T189" i="1036" s="1"/>
  <c r="S188" i="1036"/>
  <c r="T188" i="1036" s="1"/>
  <c r="S187" i="1036"/>
  <c r="T187" i="1036" s="1"/>
  <c r="S186" i="1036"/>
  <c r="T186" i="1036" s="1"/>
  <c r="S185" i="1036"/>
  <c r="T185" i="1036" s="1"/>
  <c r="S184" i="1036"/>
  <c r="T184" i="1036" s="1"/>
  <c r="S183" i="1036"/>
  <c r="T183" i="1036" s="1"/>
  <c r="S182" i="1036"/>
  <c r="T182" i="1036" s="1"/>
  <c r="S181" i="1036"/>
  <c r="T181" i="1036" s="1"/>
  <c r="S180" i="1036"/>
  <c r="T180" i="1036" s="1"/>
  <c r="S179" i="1036"/>
  <c r="T179" i="1036" s="1"/>
  <c r="S178" i="1036"/>
  <c r="T178" i="1036" s="1"/>
  <c r="S177" i="1036"/>
  <c r="T177" i="1036" s="1"/>
  <c r="S176" i="1036"/>
  <c r="T176" i="1036" s="1"/>
  <c r="S175" i="1036"/>
  <c r="T175" i="1036" s="1"/>
  <c r="S174" i="1036"/>
  <c r="T174" i="1036" s="1"/>
  <c r="S173" i="1036"/>
  <c r="T173" i="1036" s="1"/>
  <c r="S172" i="1036"/>
  <c r="T172" i="1036" s="1"/>
  <c r="S171" i="1036"/>
  <c r="T171" i="1036" s="1"/>
  <c r="S170" i="1036"/>
  <c r="T170" i="1036" s="1"/>
  <c r="S169" i="1036"/>
  <c r="T169" i="1036" s="1"/>
  <c r="S168" i="1036"/>
  <c r="T168" i="1036" s="1"/>
  <c r="S167" i="1036"/>
  <c r="T167" i="1036" s="1"/>
  <c r="S166" i="1036"/>
  <c r="T166" i="1036" s="1"/>
  <c r="S165" i="1036"/>
  <c r="T165" i="1036" s="1"/>
  <c r="S164" i="1036"/>
  <c r="T164" i="1036" s="1"/>
  <c r="S163" i="1036"/>
  <c r="T163" i="1036" s="1"/>
  <c r="S162" i="1036"/>
  <c r="T162" i="1036" s="1"/>
  <c r="S161" i="1036"/>
  <c r="T161" i="1036" s="1"/>
  <c r="S160" i="1036"/>
  <c r="T160" i="1036" s="1"/>
  <c r="S159" i="1036"/>
  <c r="T159" i="1036" s="1"/>
  <c r="S158" i="1036"/>
  <c r="T158" i="1036" s="1"/>
  <c r="S157" i="1036"/>
  <c r="T157" i="1036" s="1"/>
  <c r="S156" i="1036"/>
  <c r="T156" i="1036" s="1"/>
  <c r="U155" i="1036"/>
  <c r="S155" i="1036"/>
  <c r="T155" i="1036" s="1"/>
  <c r="U154" i="1036"/>
  <c r="S154" i="1036"/>
  <c r="T154" i="1036" s="1"/>
  <c r="U153" i="1036"/>
  <c r="S153" i="1036"/>
  <c r="T153" i="1036" s="1"/>
  <c r="S152" i="1036"/>
  <c r="T152" i="1036" s="1"/>
  <c r="S151" i="1036"/>
  <c r="T151" i="1036" s="1"/>
  <c r="S150" i="1036"/>
  <c r="T150" i="1036" s="1"/>
  <c r="S149" i="1036"/>
  <c r="T149" i="1036" s="1"/>
  <c r="U148" i="1036"/>
  <c r="S148" i="1036"/>
  <c r="T148" i="1036" s="1"/>
  <c r="U147" i="1036"/>
  <c r="S147" i="1036"/>
  <c r="T147" i="1036" s="1"/>
  <c r="S146" i="1036"/>
  <c r="T146" i="1036" s="1"/>
  <c r="U145" i="1036"/>
  <c r="S145" i="1036"/>
  <c r="T145" i="1036" s="1"/>
  <c r="S144" i="1036"/>
  <c r="T144" i="1036" s="1"/>
  <c r="S143" i="1036"/>
  <c r="T143" i="1036" s="1"/>
  <c r="S142" i="1036"/>
  <c r="T142" i="1036" s="1"/>
  <c r="S141" i="1036"/>
  <c r="T141" i="1036" s="1"/>
  <c r="S140" i="1036"/>
  <c r="T140" i="1036" s="1"/>
  <c r="U139" i="1036"/>
  <c r="S139" i="1036"/>
  <c r="T139" i="1036" s="1"/>
  <c r="S138" i="1036"/>
  <c r="T138" i="1036" s="1"/>
  <c r="S137" i="1036"/>
  <c r="T137" i="1036" s="1"/>
  <c r="S136" i="1036"/>
  <c r="T136" i="1036" s="1"/>
  <c r="S135" i="1036"/>
  <c r="T135" i="1036" s="1"/>
  <c r="S134" i="1036"/>
  <c r="T134" i="1036" s="1"/>
  <c r="S133" i="1036"/>
  <c r="T133" i="1036" s="1"/>
  <c r="S132" i="1036"/>
  <c r="T132" i="1036" s="1"/>
  <c r="S131" i="1036"/>
  <c r="T131" i="1036" s="1"/>
  <c r="S130" i="1036"/>
  <c r="T130" i="1036" s="1"/>
  <c r="S129" i="1036"/>
  <c r="T129" i="1036" s="1"/>
  <c r="S128" i="1036"/>
  <c r="T128" i="1036" s="1"/>
  <c r="S127" i="1036"/>
  <c r="T127" i="1036" s="1"/>
  <c r="S126" i="1036"/>
  <c r="T126" i="1036" s="1"/>
  <c r="S125" i="1036"/>
  <c r="T125" i="1036" s="1"/>
  <c r="S124" i="1036"/>
  <c r="T124" i="1036" s="1"/>
  <c r="S123" i="1036"/>
  <c r="T123" i="1036" s="1"/>
  <c r="S122" i="1036"/>
  <c r="T122" i="1036" s="1"/>
  <c r="S121" i="1036"/>
  <c r="T121" i="1036" s="1"/>
  <c r="S120" i="1036"/>
  <c r="T120" i="1036" s="1"/>
  <c r="S119" i="1036"/>
  <c r="T119" i="1036" s="1"/>
  <c r="U118" i="1036"/>
  <c r="S118" i="1036"/>
  <c r="T118" i="1036" s="1"/>
  <c r="S117" i="1036"/>
  <c r="T117" i="1036" s="1"/>
  <c r="U116" i="1036"/>
  <c r="S116" i="1036"/>
  <c r="T116" i="1036" s="1"/>
  <c r="S115" i="1036"/>
  <c r="T115" i="1036" s="1"/>
  <c r="S114" i="1036"/>
  <c r="T114" i="1036" s="1"/>
  <c r="S113" i="1036"/>
  <c r="T113" i="1036" s="1"/>
  <c r="S112" i="1036"/>
  <c r="T112" i="1036" s="1"/>
  <c r="S111" i="1036"/>
  <c r="T111" i="1036" s="1"/>
  <c r="S110" i="1036"/>
  <c r="T110" i="1036" s="1"/>
  <c r="S109" i="1036"/>
  <c r="T109" i="1036" s="1"/>
  <c r="S108" i="1036"/>
  <c r="T108" i="1036" s="1"/>
  <c r="S107" i="1036"/>
  <c r="T107" i="1036" s="1"/>
  <c r="S106" i="1036"/>
  <c r="T106" i="1036" s="1"/>
  <c r="S105" i="1036"/>
  <c r="T105" i="1036" s="1"/>
  <c r="S104" i="1036"/>
  <c r="T104" i="1036" s="1"/>
  <c r="S103" i="1036"/>
  <c r="T103" i="1036" s="1"/>
  <c r="S102" i="1036"/>
  <c r="T102" i="1036" s="1"/>
  <c r="S101" i="1036"/>
  <c r="T101" i="1036" s="1"/>
  <c r="S100" i="1036"/>
  <c r="T100" i="1036" s="1"/>
  <c r="S99" i="1036"/>
  <c r="T99" i="1036" s="1"/>
  <c r="S98" i="1036"/>
  <c r="T98" i="1036" s="1"/>
  <c r="S97" i="1036"/>
  <c r="T97" i="1036" s="1"/>
  <c r="S96" i="1036"/>
  <c r="T96" i="1036" s="1"/>
  <c r="S95" i="1036"/>
  <c r="T95" i="1036" s="1"/>
  <c r="S94" i="1036"/>
  <c r="T94" i="1036" s="1"/>
  <c r="S93" i="1036"/>
  <c r="T93" i="1036" s="1"/>
  <c r="S92" i="1036"/>
  <c r="T92" i="1036" s="1"/>
  <c r="S91" i="1036"/>
  <c r="T91" i="1036" s="1"/>
  <c r="S90" i="1036"/>
  <c r="T90" i="1036" s="1"/>
  <c r="S89" i="1036"/>
  <c r="T89" i="1036" s="1"/>
  <c r="S88" i="1036"/>
  <c r="T88" i="1036" s="1"/>
  <c r="S87" i="1036"/>
  <c r="T87" i="1036" s="1"/>
  <c r="S86" i="1036"/>
  <c r="T86" i="1036" s="1"/>
  <c r="S85" i="1036"/>
  <c r="T85" i="1036" s="1"/>
  <c r="S84" i="1036"/>
  <c r="T84" i="1036" s="1"/>
  <c r="S83" i="1036"/>
  <c r="T83" i="1036" s="1"/>
  <c r="S82" i="1036"/>
  <c r="T82" i="1036" s="1"/>
  <c r="S81" i="1036"/>
  <c r="T81" i="1036" s="1"/>
  <c r="S80" i="1036"/>
  <c r="T80" i="1036" s="1"/>
  <c r="S79" i="1036"/>
  <c r="T79" i="1036" s="1"/>
  <c r="S78" i="1036"/>
  <c r="T78" i="1036" s="1"/>
  <c r="S77" i="1036"/>
  <c r="T77" i="1036" s="1"/>
  <c r="U76" i="1036"/>
  <c r="S76" i="1036"/>
  <c r="T76" i="1036" s="1"/>
  <c r="S75" i="1036"/>
  <c r="T75" i="1036" s="1"/>
  <c r="S74" i="1036"/>
  <c r="T74" i="1036" s="1"/>
  <c r="S73" i="1036"/>
  <c r="T73" i="1036" s="1"/>
  <c r="S72" i="1036"/>
  <c r="T72" i="1036" s="1"/>
  <c r="U71" i="1036"/>
  <c r="S71" i="1036"/>
  <c r="T71" i="1036" s="1"/>
  <c r="S70" i="1036"/>
  <c r="T70" i="1036" s="1"/>
  <c r="S69" i="1036"/>
  <c r="T69" i="1036" s="1"/>
  <c r="S68" i="1036"/>
  <c r="T68" i="1036" s="1"/>
  <c r="S67" i="1036"/>
  <c r="T67" i="1036" s="1"/>
  <c r="U66" i="1036"/>
  <c r="S66" i="1036"/>
  <c r="T66" i="1036" s="1"/>
  <c r="S65" i="1036"/>
  <c r="T65" i="1036" s="1"/>
  <c r="S64" i="1036"/>
  <c r="T64" i="1036" s="1"/>
  <c r="S63" i="1036"/>
  <c r="T63" i="1036" s="1"/>
  <c r="U62" i="1036"/>
  <c r="S62" i="1036"/>
  <c r="T62" i="1036" s="1"/>
  <c r="S61" i="1036"/>
  <c r="T61" i="1036" s="1"/>
  <c r="S60" i="1036"/>
  <c r="T60" i="1036" s="1"/>
  <c r="S59" i="1036"/>
  <c r="T59" i="1036" s="1"/>
  <c r="S58" i="1036"/>
  <c r="T58" i="1036" s="1"/>
  <c r="S57" i="1036"/>
  <c r="T57" i="1036" s="1"/>
  <c r="U56" i="1036"/>
  <c r="S56" i="1036"/>
  <c r="T56" i="1036" s="1"/>
  <c r="S55" i="1036"/>
  <c r="T55" i="1036" s="1"/>
  <c r="U54" i="1036"/>
  <c r="S54" i="1036"/>
  <c r="T54" i="1036" s="1"/>
  <c r="S53" i="1036"/>
  <c r="T53" i="1036" s="1"/>
  <c r="U52" i="1036"/>
  <c r="S52" i="1036"/>
  <c r="T52" i="1036" s="1"/>
  <c r="U51" i="1036"/>
  <c r="S51" i="1036"/>
  <c r="T51" i="1036" s="1"/>
  <c r="S50" i="1036"/>
  <c r="T50" i="1036" s="1"/>
  <c r="U49" i="1036"/>
  <c r="S49" i="1036"/>
  <c r="T49" i="1036" s="1"/>
  <c r="S48" i="1036"/>
  <c r="U48" i="1036" s="1"/>
  <c r="S47" i="1036"/>
  <c r="T47" i="1036" s="1"/>
  <c r="S46" i="1036"/>
  <c r="T46" i="1036" s="1"/>
  <c r="S45" i="1036"/>
  <c r="T45" i="1036" s="1"/>
  <c r="U44" i="1036"/>
  <c r="S44" i="1036"/>
  <c r="T44" i="1036" s="1"/>
  <c r="S43" i="1036"/>
  <c r="T43" i="1036" s="1"/>
  <c r="S42" i="1036"/>
  <c r="T42" i="1036" s="1"/>
  <c r="U41" i="1036"/>
  <c r="S41" i="1036"/>
  <c r="T41" i="1036" s="1"/>
  <c r="S40" i="1036"/>
  <c r="T40" i="1036" s="1"/>
  <c r="S39" i="1036"/>
  <c r="T39" i="1036" s="1"/>
  <c r="S38" i="1036"/>
  <c r="T38" i="1036" s="1"/>
  <c r="S37" i="1036"/>
  <c r="T37" i="1036" s="1"/>
  <c r="S36" i="1036"/>
  <c r="T36" i="1036" s="1"/>
  <c r="S35" i="1036"/>
  <c r="T35" i="1036" s="1"/>
  <c r="U34" i="1036"/>
  <c r="S34" i="1036"/>
  <c r="T34" i="1036" s="1"/>
  <c r="S33" i="1036"/>
  <c r="T33" i="1036" s="1"/>
  <c r="U32" i="1036"/>
  <c r="S32" i="1036"/>
  <c r="T32" i="1036" s="1"/>
  <c r="S31" i="1036"/>
  <c r="T31" i="1036" s="1"/>
  <c r="S30" i="1036"/>
  <c r="T30" i="1036" s="1"/>
  <c r="U29" i="1036"/>
  <c r="S29" i="1036"/>
  <c r="T29" i="1036" s="1"/>
  <c r="S28" i="1036"/>
  <c r="T28" i="1036" s="1"/>
  <c r="S27" i="1036"/>
  <c r="T27" i="1036" s="1"/>
  <c r="S26" i="1036"/>
  <c r="T26" i="1036" s="1"/>
  <c r="S25" i="1036"/>
  <c r="T25" i="1036" s="1"/>
  <c r="S24" i="1036"/>
  <c r="T24" i="1036" s="1"/>
  <c r="S23" i="1036"/>
  <c r="T23" i="1036" s="1"/>
  <c r="S22" i="1036"/>
  <c r="T22" i="1036" s="1"/>
  <c r="S21" i="1036"/>
  <c r="T21" i="1036" s="1"/>
  <c r="U20" i="1036"/>
  <c r="S20" i="1036"/>
  <c r="T20" i="1036" s="1"/>
  <c r="S19" i="1036"/>
  <c r="T19" i="1036" s="1"/>
  <c r="U18" i="1036"/>
  <c r="S18" i="1036"/>
  <c r="T18" i="1036" s="1"/>
  <c r="U17" i="1036"/>
  <c r="S17" i="1036"/>
  <c r="T17" i="1036" s="1"/>
  <c r="U16" i="1036"/>
  <c r="S16" i="1036"/>
  <c r="T16" i="1036" s="1"/>
  <c r="U15" i="1036"/>
  <c r="S15" i="1036"/>
  <c r="T15" i="1036" s="1"/>
  <c r="S14" i="1036"/>
  <c r="T14" i="1036" s="1"/>
  <c r="S13" i="1036"/>
  <c r="T13" i="1036" s="1"/>
  <c r="S12" i="1036"/>
  <c r="T12" i="1036" s="1"/>
  <c r="S11" i="1036"/>
  <c r="T11" i="1036" s="1"/>
  <c r="S10" i="1036"/>
  <c r="T10" i="1036" s="1"/>
  <c r="U9" i="1036"/>
  <c r="S9" i="1036"/>
  <c r="T9" i="1036" s="1"/>
  <c r="S8" i="1036"/>
  <c r="T8" i="1036" s="1"/>
  <c r="S7" i="1036"/>
  <c r="T7" i="1036" s="1"/>
  <c r="S6" i="1036"/>
  <c r="T6" i="1036" s="1"/>
  <c r="S5" i="1036"/>
  <c r="T5" i="1036" s="1"/>
  <c r="S4" i="1036"/>
  <c r="T4" i="1036" s="1"/>
  <c r="AP22" i="1034"/>
  <c r="AN22" i="1034"/>
  <c r="AL22" i="1034"/>
  <c r="AJ22" i="1034"/>
  <c r="AC22" i="1034"/>
  <c r="AA22" i="1034"/>
  <c r="Y22" i="1034"/>
  <c r="W22" i="1034"/>
  <c r="AP6" i="1034"/>
  <c r="AN6" i="1034"/>
  <c r="AL6" i="1034"/>
  <c r="AJ6" i="1034"/>
  <c r="AC6" i="1034"/>
  <c r="AA6" i="1034"/>
  <c r="W6" i="1034"/>
  <c r="AP23" i="1034"/>
  <c r="AN23" i="1034"/>
  <c r="AL23" i="1034"/>
  <c r="AJ23" i="1034"/>
  <c r="AC23" i="1034"/>
  <c r="AA23" i="1034"/>
  <c r="Y23" i="1034"/>
  <c r="W23" i="1034"/>
  <c r="A2" i="1034"/>
  <c r="AW2" i="1034" s="1"/>
  <c r="B55" i="4" s="1"/>
  <c r="BW32" i="1034" l="1"/>
  <c r="BD32" i="1034" s="1"/>
  <c r="BE32" i="1034" s="1"/>
  <c r="BH32" i="1034" s="1"/>
  <c r="BK32" i="1034" s="1"/>
  <c r="BX32" i="1034"/>
  <c r="BE30" i="1034"/>
  <c r="BH30" i="1034" s="1"/>
  <c r="X30" i="1034"/>
  <c r="BW31" i="1034"/>
  <c r="BD31" i="1034" s="1"/>
  <c r="BY31" i="1034"/>
  <c r="BZ31" i="1034"/>
  <c r="DA32" i="1034"/>
  <c r="CZ32" i="1034"/>
  <c r="CX32" i="1034"/>
  <c r="CE32" i="1034" s="1"/>
  <c r="CF32" i="1034" s="1"/>
  <c r="CI32" i="1034" s="1"/>
  <c r="BE34" i="1034"/>
  <c r="BH34" i="1034" s="1"/>
  <c r="BX33" i="1034"/>
  <c r="BW33" i="1034"/>
  <c r="BD33" i="1034" s="1"/>
  <c r="BY33" i="1034"/>
  <c r="BX35" i="1034"/>
  <c r="AK34" i="1034"/>
  <c r="CF34" i="1034"/>
  <c r="BZ35" i="1034"/>
  <c r="CY35" i="1034"/>
  <c r="CZ35" i="1034"/>
  <c r="DA35" i="1034"/>
  <c r="CX35" i="1034"/>
  <c r="CE35" i="1034" s="1"/>
  <c r="BW35" i="1034"/>
  <c r="BD35" i="1034" s="1"/>
  <c r="CF31" i="1034"/>
  <c r="CI31" i="1034" s="1"/>
  <c r="AK31" i="1034"/>
  <c r="CF33" i="1034"/>
  <c r="CI33" i="1034" s="1"/>
  <c r="AK33" i="1034"/>
  <c r="BW29" i="1034"/>
  <c r="BD29" i="1034" s="1"/>
  <c r="CF30" i="1034"/>
  <c r="CI30" i="1034" s="1"/>
  <c r="CL30" i="1034" s="1"/>
  <c r="AU30" i="1034" s="1"/>
  <c r="AV30" i="1034" s="1"/>
  <c r="CX28" i="1034"/>
  <c r="CE28" i="1034" s="1"/>
  <c r="CF28" i="1034" s="1"/>
  <c r="CI28" i="1034" s="1"/>
  <c r="CY28" i="1034"/>
  <c r="DA29" i="1034"/>
  <c r="CK29" i="1034" s="1"/>
  <c r="AS29" i="1034" s="1"/>
  <c r="AK29" i="1034"/>
  <c r="CZ28" i="1034"/>
  <c r="BX29" i="1034"/>
  <c r="BZ29" i="1034"/>
  <c r="BW27" i="1034"/>
  <c r="BD27" i="1034" s="1"/>
  <c r="BE27" i="1034" s="1"/>
  <c r="BH27" i="1034" s="1"/>
  <c r="BK27" i="1034" s="1"/>
  <c r="BZ27" i="1034"/>
  <c r="BY27" i="1034"/>
  <c r="CY29" i="1034"/>
  <c r="CH29" i="1034" s="1"/>
  <c r="AQ29" i="1034" s="1"/>
  <c r="CZ29" i="1034"/>
  <c r="CJ29" i="1034" s="1"/>
  <c r="AR29" i="1034" s="1"/>
  <c r="AK26" i="1034"/>
  <c r="CF26" i="1034"/>
  <c r="CI26" i="1034" s="1"/>
  <c r="BG26" i="1034"/>
  <c r="BF26" i="1034"/>
  <c r="BJ26" i="1034"/>
  <c r="BI26" i="1034"/>
  <c r="CF27" i="1034"/>
  <c r="AK27" i="1034"/>
  <c r="BE28" i="1034"/>
  <c r="BH28" i="1034" s="1"/>
  <c r="BK28" i="1034" s="1"/>
  <c r="AH28" i="1034" s="1"/>
  <c r="AI28" i="1034" s="1"/>
  <c r="CG29" i="1034"/>
  <c r="AM29" i="1034" s="1"/>
  <c r="CI29" i="1034"/>
  <c r="AK21" i="1034"/>
  <c r="AK25" i="1034"/>
  <c r="AT25" i="1034" s="1"/>
  <c r="BZ21" i="1034"/>
  <c r="CH13" i="1034"/>
  <c r="AQ13" i="1034" s="1"/>
  <c r="BE15" i="1034"/>
  <c r="BH15" i="1034" s="1"/>
  <c r="BK15" i="1034" s="1"/>
  <c r="AH15" i="1034" s="1"/>
  <c r="AI15" i="1034" s="1"/>
  <c r="BW21" i="1034"/>
  <c r="BD21" i="1034" s="1"/>
  <c r="BE21" i="1034" s="1"/>
  <c r="CI13" i="1034"/>
  <c r="CL13" i="1034" s="1"/>
  <c r="AU13" i="1034" s="1"/>
  <c r="AV13" i="1034" s="1"/>
  <c r="CK13" i="1034"/>
  <c r="AS13" i="1034" s="1"/>
  <c r="CJ13" i="1034"/>
  <c r="AR13" i="1034" s="1"/>
  <c r="CX24" i="1034"/>
  <c r="CE24" i="1034" s="1"/>
  <c r="AK24" i="1034" s="1"/>
  <c r="AK13" i="1034"/>
  <c r="BX21" i="1034"/>
  <c r="BW25" i="1034"/>
  <c r="BD25" i="1034" s="1"/>
  <c r="BE25" i="1034" s="1"/>
  <c r="BX25" i="1034"/>
  <c r="BZ25" i="1034"/>
  <c r="CY24" i="1034"/>
  <c r="CZ24" i="1034"/>
  <c r="CL21" i="1034"/>
  <c r="AU21" i="1034" s="1"/>
  <c r="AV21" i="1034" s="1"/>
  <c r="AT21" i="1034"/>
  <c r="CK25" i="1034"/>
  <c r="CJ25" i="1034"/>
  <c r="CH25" i="1034"/>
  <c r="CG25" i="1034"/>
  <c r="AM25" i="1034" s="1"/>
  <c r="CL25" i="1034"/>
  <c r="BE24" i="1034"/>
  <c r="BH24" i="1034" s="1"/>
  <c r="CG21" i="1034"/>
  <c r="AM21" i="1034" s="1"/>
  <c r="CK21" i="1034"/>
  <c r="AS21" i="1034" s="1"/>
  <c r="CH21" i="1034"/>
  <c r="CJ21" i="1034"/>
  <c r="BZ7" i="1034"/>
  <c r="AK8" i="1034"/>
  <c r="BX11" i="1034"/>
  <c r="BX13" i="1034"/>
  <c r="AK11" i="1034"/>
  <c r="CZ17" i="1034"/>
  <c r="CJ17" i="1034" s="1"/>
  <c r="AR17" i="1034" s="1"/>
  <c r="BW11" i="1034"/>
  <c r="BD11" i="1034" s="1"/>
  <c r="BE11" i="1034" s="1"/>
  <c r="BH11" i="1034" s="1"/>
  <c r="DA17" i="1034"/>
  <c r="CK17" i="1034" s="1"/>
  <c r="AS17" i="1034" s="1"/>
  <c r="BZ11" i="1034"/>
  <c r="AK17" i="1034"/>
  <c r="CY17" i="1034"/>
  <c r="CH17" i="1034" s="1"/>
  <c r="AQ17" i="1034" s="1"/>
  <c r="BW13" i="1034"/>
  <c r="BD13" i="1034" s="1"/>
  <c r="X13" i="1034" s="1"/>
  <c r="BZ13" i="1034"/>
  <c r="CZ9" i="1034"/>
  <c r="CY15" i="1034"/>
  <c r="CY9" i="1034"/>
  <c r="BW7" i="1034"/>
  <c r="BD7" i="1034" s="1"/>
  <c r="X7" i="1034" s="1"/>
  <c r="BY7" i="1034"/>
  <c r="BE12" i="1034"/>
  <c r="BH12" i="1034" s="1"/>
  <c r="BK12" i="1034" s="1"/>
  <c r="AH12" i="1034" s="1"/>
  <c r="AI12" i="1034" s="1"/>
  <c r="CK11" i="1034"/>
  <c r="AS11" i="1034" s="1"/>
  <c r="CJ11" i="1034"/>
  <c r="AR11" i="1034" s="1"/>
  <c r="CH11" i="1034"/>
  <c r="AQ11" i="1034" s="1"/>
  <c r="CG11" i="1034"/>
  <c r="AM11" i="1034" s="1"/>
  <c r="CI11" i="1034"/>
  <c r="X18" i="1034"/>
  <c r="CF16" i="1034"/>
  <c r="AK16" i="1034"/>
  <c r="BE14" i="1034"/>
  <c r="X14" i="1034"/>
  <c r="BY18" i="1034"/>
  <c r="BI18" i="1034" s="1"/>
  <c r="BZ18" i="1034"/>
  <c r="BJ18" i="1034" s="1"/>
  <c r="BX18" i="1034"/>
  <c r="BG18" i="1034" s="1"/>
  <c r="BZ10" i="1034"/>
  <c r="BW10" i="1034"/>
  <c r="BD10" i="1034" s="1"/>
  <c r="BY10" i="1034"/>
  <c r="BX10" i="1034"/>
  <c r="CX9" i="1034"/>
  <c r="CE9" i="1034" s="1"/>
  <c r="CF9" i="1034" s="1"/>
  <c r="CI9" i="1034" s="1"/>
  <c r="BX8" i="1034"/>
  <c r="BZ17" i="1034"/>
  <c r="AK7" i="1034"/>
  <c r="CZ15" i="1034"/>
  <c r="DA15" i="1034"/>
  <c r="BW17" i="1034"/>
  <c r="BD17" i="1034" s="1"/>
  <c r="BE17" i="1034" s="1"/>
  <c r="BH17" i="1034" s="1"/>
  <c r="BX17" i="1034"/>
  <c r="DA18" i="1034"/>
  <c r="CZ18" i="1034"/>
  <c r="CX18" i="1034"/>
  <c r="CE18" i="1034" s="1"/>
  <c r="CY18" i="1034"/>
  <c r="CZ12" i="1034"/>
  <c r="CY12" i="1034"/>
  <c r="BW8" i="1034"/>
  <c r="BD8" i="1034" s="1"/>
  <c r="BY8" i="1034"/>
  <c r="AK12" i="1034"/>
  <c r="CF12" i="1034"/>
  <c r="CL17" i="1034"/>
  <c r="AU17" i="1034" s="1"/>
  <c r="AV17" i="1034" s="1"/>
  <c r="AT17" i="1034"/>
  <c r="BE9" i="1034"/>
  <c r="X9" i="1034"/>
  <c r="CJ8" i="1034"/>
  <c r="AR8" i="1034" s="1"/>
  <c r="CH8" i="1034"/>
  <c r="AQ8" i="1034" s="1"/>
  <c r="CG8" i="1034"/>
  <c r="AM8" i="1034" s="1"/>
  <c r="CK8" i="1034"/>
  <c r="AS8" i="1034" s="1"/>
  <c r="DA12" i="1034"/>
  <c r="CI8" i="1034"/>
  <c r="BE16" i="1034"/>
  <c r="BH16" i="1034" s="1"/>
  <c r="X16" i="1034"/>
  <c r="BF18" i="1034"/>
  <c r="Z18" i="1034" s="1"/>
  <c r="BK18" i="1034"/>
  <c r="AG18" i="1034"/>
  <c r="CF15" i="1034"/>
  <c r="CI15" i="1034" s="1"/>
  <c r="AK15" i="1034"/>
  <c r="CG17" i="1034"/>
  <c r="AM17" i="1034" s="1"/>
  <c r="CY14" i="1034"/>
  <c r="CZ14" i="1034"/>
  <c r="CX14" i="1034"/>
  <c r="CE14" i="1034" s="1"/>
  <c r="DA14" i="1034"/>
  <c r="CK7" i="1034"/>
  <c r="AS7" i="1034" s="1"/>
  <c r="CJ7" i="1034"/>
  <c r="AR7" i="1034" s="1"/>
  <c r="CH7" i="1034"/>
  <c r="AQ7" i="1034" s="1"/>
  <c r="CG7" i="1034"/>
  <c r="AM7" i="1034" s="1"/>
  <c r="CI7" i="1034"/>
  <c r="T48" i="1036"/>
  <c r="B3" i="1035"/>
  <c r="B3" i="1037"/>
  <c r="F11" i="1035"/>
  <c r="F11" i="1037"/>
  <c r="F12" i="1035"/>
  <c r="F12" i="1037"/>
  <c r="F14" i="1035"/>
  <c r="F14" i="1037"/>
  <c r="F15" i="1035"/>
  <c r="F18" i="1035"/>
  <c r="F19" i="1035"/>
  <c r="F19" i="1037"/>
  <c r="F20" i="1035"/>
  <c r="F20" i="1037"/>
  <c r="F21" i="1035"/>
  <c r="F21" i="1037"/>
  <c r="F22" i="1035"/>
  <c r="F22" i="1037"/>
  <c r="F23" i="1035"/>
  <c r="F23" i="1037"/>
  <c r="F24" i="1035"/>
  <c r="F24" i="1037"/>
  <c r="F25" i="1035"/>
  <c r="F25" i="1037"/>
  <c r="F26" i="1035"/>
  <c r="F26" i="1037"/>
  <c r="F27" i="1035"/>
  <c r="F27" i="1037"/>
  <c r="F28" i="1035"/>
  <c r="F28" i="1037"/>
  <c r="F29" i="1035"/>
  <c r="F29" i="1037"/>
  <c r="F30" i="1035"/>
  <c r="F30" i="1037"/>
  <c r="F31" i="1035"/>
  <c r="F31" i="1037"/>
  <c r="F32" i="1035"/>
  <c r="F32" i="1037"/>
  <c r="B13" i="1035"/>
  <c r="B13" i="1037"/>
  <c r="F3" i="1035"/>
  <c r="F3" i="1037"/>
  <c r="B11" i="1035"/>
  <c r="B11" i="1037"/>
  <c r="B12" i="1035"/>
  <c r="B12" i="1037"/>
  <c r="B14" i="1035"/>
  <c r="B14" i="1037"/>
  <c r="B15" i="1035"/>
  <c r="B18" i="1035"/>
  <c r="B19" i="1035"/>
  <c r="B19" i="1037"/>
  <c r="B20" i="1035"/>
  <c r="B20" i="1037"/>
  <c r="B21" i="1035"/>
  <c r="B21" i="1037"/>
  <c r="B22" i="1035"/>
  <c r="B22" i="1037"/>
  <c r="B23" i="1035"/>
  <c r="B23" i="1037"/>
  <c r="B24" i="1035"/>
  <c r="B24" i="1037"/>
  <c r="B25" i="1035"/>
  <c r="B25" i="1037"/>
  <c r="B26" i="1035"/>
  <c r="B26" i="1037"/>
  <c r="B27" i="1035"/>
  <c r="B27" i="1037"/>
  <c r="B28" i="1035"/>
  <c r="B28" i="1037"/>
  <c r="B29" i="1035"/>
  <c r="B29" i="1037"/>
  <c r="B30" i="1035"/>
  <c r="B30" i="1037"/>
  <c r="B31" i="1035"/>
  <c r="B31" i="1037"/>
  <c r="B32" i="1035"/>
  <c r="B32" i="1037"/>
  <c r="B5" i="1035"/>
  <c r="B5" i="1037"/>
  <c r="B7" i="1035"/>
  <c r="B7" i="1037"/>
  <c r="B10" i="1035"/>
  <c r="B10" i="1037"/>
  <c r="B4" i="1035"/>
  <c r="B4" i="1037"/>
  <c r="B6" i="1035"/>
  <c r="B6" i="1037"/>
  <c r="B8" i="1035"/>
  <c r="B8" i="1037"/>
  <c r="B9" i="1035"/>
  <c r="B9" i="1037"/>
  <c r="F13" i="1035"/>
  <c r="F13" i="1037"/>
  <c r="F4" i="1035"/>
  <c r="F4" i="1037"/>
  <c r="F5" i="1035"/>
  <c r="F5" i="1037"/>
  <c r="F6" i="1035"/>
  <c r="F6" i="1037"/>
  <c r="F7" i="1035"/>
  <c r="F7" i="1037"/>
  <c r="F8" i="1035"/>
  <c r="F8" i="1037"/>
  <c r="F9" i="1035"/>
  <c r="F9" i="1037"/>
  <c r="F10" i="1035"/>
  <c r="F10" i="1037"/>
  <c r="BB6" i="1034"/>
  <c r="BA6" i="1034"/>
  <c r="CD23" i="1034"/>
  <c r="CB6" i="1034"/>
  <c r="CM6" i="1034" s="1"/>
  <c r="BA23" i="1034"/>
  <c r="BL23" i="1034" s="1"/>
  <c r="BC23" i="1034"/>
  <c r="CC23" i="1034"/>
  <c r="CC22" i="1034"/>
  <c r="BC6" i="1034"/>
  <c r="CB22" i="1034"/>
  <c r="CB23" i="1034"/>
  <c r="R2" i="1034"/>
  <c r="AJ2" i="1034"/>
  <c r="H2" i="1034"/>
  <c r="AP2" i="1034"/>
  <c r="O2" i="1034"/>
  <c r="E2" i="1034"/>
  <c r="U2" i="1034"/>
  <c r="C2" i="1034"/>
  <c r="AN2" i="1034"/>
  <c r="L2" i="1034"/>
  <c r="I2" i="1034"/>
  <c r="AA2" i="1034"/>
  <c r="Q2" i="1034"/>
  <c r="BL22" i="1034"/>
  <c r="D2" i="1034"/>
  <c r="M2" i="1034"/>
  <c r="W2" i="1034"/>
  <c r="AO2" i="1034"/>
  <c r="G2" i="1034"/>
  <c r="P2" i="1034"/>
  <c r="Y2" i="1034"/>
  <c r="AL2" i="1034"/>
  <c r="V2" i="1034"/>
  <c r="N2" i="1034"/>
  <c r="F2" i="1034"/>
  <c r="J2" i="1034"/>
  <c r="S2" i="1034"/>
  <c r="AB2" i="1034"/>
  <c r="B2" i="1034"/>
  <c r="K7" i="4" s="1"/>
  <c r="K2" i="1034"/>
  <c r="T2" i="1034"/>
  <c r="AC2" i="1034"/>
  <c r="AS25" i="1034" l="1"/>
  <c r="AU25" i="1034"/>
  <c r="AV25" i="1034" s="1"/>
  <c r="AQ25" i="1034"/>
  <c r="AR25" i="1034"/>
  <c r="AR21" i="1034"/>
  <c r="AQ21" i="1034"/>
  <c r="AE18" i="1034"/>
  <c r="AH18" i="1034"/>
  <c r="AI18" i="1034" s="1"/>
  <c r="AD18" i="1034"/>
  <c r="AF18" i="1034"/>
  <c r="BG30" i="1034"/>
  <c r="AD30" i="1034" s="1"/>
  <c r="BF30" i="1034"/>
  <c r="Z30" i="1034" s="1"/>
  <c r="BK34" i="1034"/>
  <c r="AH34" i="1034" s="1"/>
  <c r="AI34" i="1034" s="1"/>
  <c r="AG34" i="1034"/>
  <c r="BE31" i="1034"/>
  <c r="BH31" i="1034" s="1"/>
  <c r="X31" i="1034"/>
  <c r="BJ30" i="1034"/>
  <c r="AF30" i="1034" s="1"/>
  <c r="BI30" i="1034"/>
  <c r="AE30" i="1034" s="1"/>
  <c r="BK30" i="1034"/>
  <c r="AH30" i="1034" s="1"/>
  <c r="AI30" i="1034" s="1"/>
  <c r="AG30" i="1034"/>
  <c r="AG28" i="1034"/>
  <c r="BE13" i="1034"/>
  <c r="BH13" i="1034" s="1"/>
  <c r="BK13" i="1034" s="1"/>
  <c r="AH13" i="1034" s="1"/>
  <c r="AI13" i="1034" s="1"/>
  <c r="BG34" i="1034"/>
  <c r="AD34" i="1034" s="1"/>
  <c r="BF34" i="1034"/>
  <c r="Z34" i="1034" s="1"/>
  <c r="BJ34" i="1034"/>
  <c r="AF34" i="1034" s="1"/>
  <c r="BI34" i="1034"/>
  <c r="AE34" i="1034" s="1"/>
  <c r="AK32" i="1034"/>
  <c r="AT32" i="1034" s="1"/>
  <c r="AK28" i="1034"/>
  <c r="CJ30" i="1034"/>
  <c r="AR30" i="1034" s="1"/>
  <c r="BE29" i="1034"/>
  <c r="BJ29" i="1034" s="1"/>
  <c r="X29" i="1034"/>
  <c r="CF24" i="1034"/>
  <c r="CI24" i="1034" s="1"/>
  <c r="CL24" i="1034" s="1"/>
  <c r="AU24" i="1034" s="1"/>
  <c r="AV24" i="1034" s="1"/>
  <c r="BE33" i="1034"/>
  <c r="BH33" i="1034" s="1"/>
  <c r="BK33" i="1034" s="1"/>
  <c r="BE35" i="1034"/>
  <c r="CK34" i="1034"/>
  <c r="AS34" i="1034" s="1"/>
  <c r="CJ34" i="1034"/>
  <c r="AR34" i="1034" s="1"/>
  <c r="CH34" i="1034"/>
  <c r="AQ34" i="1034" s="1"/>
  <c r="CG34" i="1034"/>
  <c r="AM34" i="1034" s="1"/>
  <c r="CI34" i="1034"/>
  <c r="CF35" i="1034"/>
  <c r="CI35" i="1034" s="1"/>
  <c r="AK35" i="1034"/>
  <c r="CK33" i="1034"/>
  <c r="AS33" i="1034" s="1"/>
  <c r="CJ33" i="1034"/>
  <c r="AR33" i="1034" s="1"/>
  <c r="CH33" i="1034"/>
  <c r="AQ33" i="1034" s="1"/>
  <c r="CG33" i="1034"/>
  <c r="AM33" i="1034" s="1"/>
  <c r="CL33" i="1034"/>
  <c r="AU33" i="1034" s="1"/>
  <c r="AV33" i="1034" s="1"/>
  <c r="AT33" i="1034"/>
  <c r="CL32" i="1034"/>
  <c r="AU32" i="1034" s="1"/>
  <c r="AV32" i="1034" s="1"/>
  <c r="BG32" i="1034"/>
  <c r="BF32" i="1034"/>
  <c r="BI32" i="1034"/>
  <c r="BJ32" i="1034"/>
  <c r="CG32" i="1034"/>
  <c r="AM32" i="1034" s="1"/>
  <c r="CH32" i="1034"/>
  <c r="AQ32" i="1034" s="1"/>
  <c r="CK32" i="1034"/>
  <c r="AS32" i="1034" s="1"/>
  <c r="CJ32" i="1034"/>
  <c r="CK31" i="1034"/>
  <c r="AS31" i="1034" s="1"/>
  <c r="CJ31" i="1034"/>
  <c r="AR31" i="1034" s="1"/>
  <c r="CH31" i="1034"/>
  <c r="AQ31" i="1034" s="1"/>
  <c r="CG31" i="1034"/>
  <c r="AM31" i="1034" s="1"/>
  <c r="CL31" i="1034"/>
  <c r="AU31" i="1034" s="1"/>
  <c r="AV31" i="1034" s="1"/>
  <c r="AT31" i="1034"/>
  <c r="CK30" i="1034"/>
  <c r="AS30" i="1034" s="1"/>
  <c r="CH30" i="1034"/>
  <c r="AQ30" i="1034" s="1"/>
  <c r="CG30" i="1034"/>
  <c r="AM30" i="1034" s="1"/>
  <c r="AT30" i="1034"/>
  <c r="CL28" i="1034"/>
  <c r="AU28" i="1034" s="1"/>
  <c r="AV28" i="1034" s="1"/>
  <c r="AT28" i="1034"/>
  <c r="CG28" i="1034"/>
  <c r="AM28" i="1034" s="1"/>
  <c r="CJ28" i="1034"/>
  <c r="AR28" i="1034" s="1"/>
  <c r="CH28" i="1034"/>
  <c r="AQ28" i="1034" s="1"/>
  <c r="CK28" i="1034"/>
  <c r="AS28" i="1034" s="1"/>
  <c r="CL26" i="1034"/>
  <c r="AU26" i="1034" s="1"/>
  <c r="AV26" i="1034" s="1"/>
  <c r="AT26" i="1034"/>
  <c r="CK26" i="1034"/>
  <c r="AS26" i="1034" s="1"/>
  <c r="CH26" i="1034"/>
  <c r="AQ26" i="1034" s="1"/>
  <c r="CG26" i="1034"/>
  <c r="AM26" i="1034" s="1"/>
  <c r="CJ26" i="1034"/>
  <c r="AR26" i="1034" s="1"/>
  <c r="CL29" i="1034"/>
  <c r="AU29" i="1034" s="1"/>
  <c r="AV29" i="1034" s="1"/>
  <c r="AT29" i="1034"/>
  <c r="BJ27" i="1034"/>
  <c r="BI27" i="1034"/>
  <c r="BG27" i="1034"/>
  <c r="BF27" i="1034"/>
  <c r="BG28" i="1034"/>
  <c r="AD28" i="1034" s="1"/>
  <c r="BF28" i="1034"/>
  <c r="Z28" i="1034" s="1"/>
  <c r="BJ28" i="1034"/>
  <c r="AF28" i="1034" s="1"/>
  <c r="BI28" i="1034"/>
  <c r="AE28" i="1034" s="1"/>
  <c r="CK27" i="1034"/>
  <c r="AS27" i="1034" s="1"/>
  <c r="CJ27" i="1034"/>
  <c r="AR27" i="1034" s="1"/>
  <c r="CH27" i="1034"/>
  <c r="AQ27" i="1034" s="1"/>
  <c r="CG27" i="1034"/>
  <c r="AM27" i="1034" s="1"/>
  <c r="CI27" i="1034"/>
  <c r="X11" i="1034"/>
  <c r="AG15" i="1034"/>
  <c r="BJ15" i="1034"/>
  <c r="AF15" i="1034" s="1"/>
  <c r="BF15" i="1034"/>
  <c r="Z15" i="1034" s="1"/>
  <c r="BI15" i="1034"/>
  <c r="AE15" i="1034" s="1"/>
  <c r="BG15" i="1034"/>
  <c r="AD15" i="1034" s="1"/>
  <c r="BK24" i="1034"/>
  <c r="AH24" i="1034" s="1"/>
  <c r="AI24" i="1034" s="1"/>
  <c r="AG24" i="1034"/>
  <c r="AT13" i="1034"/>
  <c r="BJ25" i="1034"/>
  <c r="BI25" i="1034"/>
  <c r="BG25" i="1034"/>
  <c r="BF25" i="1034"/>
  <c r="BG21" i="1034"/>
  <c r="BF21" i="1034"/>
  <c r="BI21" i="1034"/>
  <c r="BJ21" i="1034"/>
  <c r="BH25" i="1034"/>
  <c r="BK25" i="1034" s="1"/>
  <c r="BH21" i="1034"/>
  <c r="BK21" i="1034" s="1"/>
  <c r="BJ24" i="1034"/>
  <c r="AF24" i="1034" s="1"/>
  <c r="BI24" i="1034"/>
  <c r="AE24" i="1034" s="1"/>
  <c r="BG24" i="1034"/>
  <c r="AD24" i="1034" s="1"/>
  <c r="BF24" i="1034"/>
  <c r="Z24" i="1034" s="1"/>
  <c r="BE7" i="1034"/>
  <c r="BH7" i="1034" s="1"/>
  <c r="AK9" i="1034"/>
  <c r="BG12" i="1034"/>
  <c r="AD12" i="1034" s="1"/>
  <c r="AG12" i="1034"/>
  <c r="BF12" i="1034"/>
  <c r="Z12" i="1034" s="1"/>
  <c r="BI12" i="1034"/>
  <c r="AE12" i="1034" s="1"/>
  <c r="BJ12" i="1034"/>
  <c r="AF12" i="1034" s="1"/>
  <c r="BK11" i="1034"/>
  <c r="AH11" i="1034" s="1"/>
  <c r="AI11" i="1034" s="1"/>
  <c r="AG11" i="1034"/>
  <c r="CL11" i="1034"/>
  <c r="AU11" i="1034" s="1"/>
  <c r="AV11" i="1034" s="1"/>
  <c r="AT11" i="1034"/>
  <c r="BJ11" i="1034"/>
  <c r="AF11" i="1034" s="1"/>
  <c r="BI11" i="1034"/>
  <c r="AE11" i="1034" s="1"/>
  <c r="BG11" i="1034"/>
  <c r="AD11" i="1034" s="1"/>
  <c r="BF11" i="1034"/>
  <c r="Z11" i="1034" s="1"/>
  <c r="X17" i="1034"/>
  <c r="BH14" i="1034"/>
  <c r="BF14" i="1034"/>
  <c r="Z14" i="1034" s="1"/>
  <c r="BG14" i="1034"/>
  <c r="AD14" i="1034" s="1"/>
  <c r="BJ14" i="1034"/>
  <c r="AF14" i="1034" s="1"/>
  <c r="BI14" i="1034"/>
  <c r="AE14" i="1034" s="1"/>
  <c r="CI16" i="1034"/>
  <c r="CK16" i="1034"/>
  <c r="AS16" i="1034" s="1"/>
  <c r="CG16" i="1034"/>
  <c r="AM16" i="1034" s="1"/>
  <c r="CJ16" i="1034"/>
  <c r="AR16" i="1034" s="1"/>
  <c r="CH16" i="1034"/>
  <c r="AQ16" i="1034" s="1"/>
  <c r="BE10" i="1034"/>
  <c r="BH10" i="1034" s="1"/>
  <c r="BK10" i="1034" s="1"/>
  <c r="CF18" i="1034"/>
  <c r="AK18" i="1034"/>
  <c r="X8" i="1034"/>
  <c r="BE8" i="1034"/>
  <c r="CL15" i="1034"/>
  <c r="AU15" i="1034" s="1"/>
  <c r="AV15" i="1034" s="1"/>
  <c r="AT15" i="1034"/>
  <c r="BG9" i="1034"/>
  <c r="AD9" i="1034" s="1"/>
  <c r="BF9" i="1034"/>
  <c r="Z9" i="1034" s="1"/>
  <c r="BJ9" i="1034"/>
  <c r="AF9" i="1034" s="1"/>
  <c r="BI9" i="1034"/>
  <c r="AE9" i="1034" s="1"/>
  <c r="CK9" i="1034"/>
  <c r="AS9" i="1034" s="1"/>
  <c r="CG9" i="1034"/>
  <c r="AM9" i="1034" s="1"/>
  <c r="CJ9" i="1034"/>
  <c r="AR9" i="1034" s="1"/>
  <c r="CH9" i="1034"/>
  <c r="AQ9" i="1034" s="1"/>
  <c r="CK12" i="1034"/>
  <c r="AS12" i="1034" s="1"/>
  <c r="CJ12" i="1034"/>
  <c r="AR12" i="1034" s="1"/>
  <c r="CH12" i="1034"/>
  <c r="AQ12" i="1034" s="1"/>
  <c r="CG12" i="1034"/>
  <c r="AM12" i="1034" s="1"/>
  <c r="CF14" i="1034"/>
  <c r="CI14" i="1034" s="1"/>
  <c r="AK14" i="1034"/>
  <c r="CL8" i="1034"/>
  <c r="AU8" i="1034" s="1"/>
  <c r="AV8" i="1034" s="1"/>
  <c r="AT8" i="1034"/>
  <c r="BJ16" i="1034"/>
  <c r="AF16" i="1034" s="1"/>
  <c r="BI16" i="1034"/>
  <c r="AE16" i="1034" s="1"/>
  <c r="BG16" i="1034"/>
  <c r="AD16" i="1034" s="1"/>
  <c r="BF16" i="1034"/>
  <c r="Z16" i="1034" s="1"/>
  <c r="CI12" i="1034"/>
  <c r="BG17" i="1034"/>
  <c r="AD17" i="1034" s="1"/>
  <c r="BF17" i="1034"/>
  <c r="Z17" i="1034" s="1"/>
  <c r="BJ17" i="1034"/>
  <c r="AF17" i="1034" s="1"/>
  <c r="BI17" i="1034"/>
  <c r="AE17" i="1034" s="1"/>
  <c r="CG15" i="1034"/>
  <c r="AM15" i="1034" s="1"/>
  <c r="CK15" i="1034"/>
  <c r="AS15" i="1034" s="1"/>
  <c r="CJ15" i="1034"/>
  <c r="AR15" i="1034" s="1"/>
  <c r="CH15" i="1034"/>
  <c r="AQ15" i="1034" s="1"/>
  <c r="BK16" i="1034"/>
  <c r="AH16" i="1034" s="1"/>
  <c r="AI16" i="1034" s="1"/>
  <c r="AG16" i="1034"/>
  <c r="BK17" i="1034"/>
  <c r="AH17" i="1034" s="1"/>
  <c r="AI17" i="1034" s="1"/>
  <c r="AG17" i="1034"/>
  <c r="AT9" i="1034"/>
  <c r="CL9" i="1034"/>
  <c r="AU9" i="1034" s="1"/>
  <c r="AV9" i="1034" s="1"/>
  <c r="BH9" i="1034"/>
  <c r="AT7" i="1034"/>
  <c r="CL7" i="1034"/>
  <c r="AU7" i="1034" s="1"/>
  <c r="AV7" i="1034" s="1"/>
  <c r="E43" i="4"/>
  <c r="E23" i="4"/>
  <c r="D23" i="4"/>
  <c r="I23" i="4"/>
  <c r="K43" i="4"/>
  <c r="K23" i="4"/>
  <c r="M23" i="4"/>
  <c r="D11" i="4"/>
  <c r="D10" i="4"/>
  <c r="J19" i="4"/>
  <c r="D12" i="4"/>
  <c r="L23" i="4"/>
  <c r="H23" i="4"/>
  <c r="E46" i="4"/>
  <c r="G23" i="4"/>
  <c r="F23" i="4"/>
  <c r="K15" i="4"/>
  <c r="E15" i="4"/>
  <c r="J23" i="4"/>
  <c r="D18" i="4"/>
  <c r="F19" i="4"/>
  <c r="K46" i="4"/>
  <c r="B18" i="4"/>
  <c r="CM23" i="1034"/>
  <c r="CO23" i="1034" s="1"/>
  <c r="BL6" i="1034"/>
  <c r="CM22" i="1034"/>
  <c r="CN22" i="1034" s="1"/>
  <c r="CS22" i="1034" s="1"/>
  <c r="CV22" i="1034" s="1"/>
  <c r="CR6" i="1034"/>
  <c r="CS6" i="1034"/>
  <c r="BM23" i="1034"/>
  <c r="BR23" i="1034" s="1"/>
  <c r="BN23" i="1034"/>
  <c r="BP23" i="1034"/>
  <c r="BO23" i="1034"/>
  <c r="BM22" i="1034"/>
  <c r="BR22" i="1034" s="1"/>
  <c r="BP22" i="1034"/>
  <c r="BO22" i="1034"/>
  <c r="BN22" i="1034"/>
  <c r="FT11" i="5"/>
  <c r="FS11" i="5"/>
  <c r="FR11" i="5"/>
  <c r="FQ11" i="5"/>
  <c r="FP11" i="5"/>
  <c r="FO11" i="5"/>
  <c r="FN11" i="5"/>
  <c r="FM11" i="5"/>
  <c r="FL11" i="5"/>
  <c r="FK11" i="5"/>
  <c r="FJ11" i="5"/>
  <c r="FI11" i="5"/>
  <c r="FH11" i="5"/>
  <c r="FG11" i="5"/>
  <c r="FF11" i="5"/>
  <c r="FE11" i="5"/>
  <c r="FD11" i="5"/>
  <c r="FC11" i="5"/>
  <c r="FB11" i="5"/>
  <c r="FA11" i="5"/>
  <c r="EZ11" i="5"/>
  <c r="EY11" i="5"/>
  <c r="EX11" i="5"/>
  <c r="EW11" i="5"/>
  <c r="EV11" i="5"/>
  <c r="EU11" i="5"/>
  <c r="ET11" i="5"/>
  <c r="ES11" i="5"/>
  <c r="ER11" i="5"/>
  <c r="EQ11" i="5"/>
  <c r="EP11" i="5"/>
  <c r="EO11" i="5"/>
  <c r="EN11" i="5"/>
  <c r="EM11" i="5"/>
  <c r="EL11" i="5"/>
  <c r="EK11" i="5"/>
  <c r="EJ11" i="5"/>
  <c r="EI11" i="5"/>
  <c r="EH11" i="5"/>
  <c r="EG11" i="5"/>
  <c r="EF11" i="5"/>
  <c r="EE11" i="5"/>
  <c r="ED11" i="5"/>
  <c r="EC11" i="5"/>
  <c r="EB11" i="5"/>
  <c r="EA11" i="5"/>
  <c r="DZ11" i="5"/>
  <c r="DY11" i="5"/>
  <c r="DX11" i="5"/>
  <c r="DW11" i="5"/>
  <c r="DV11" i="5"/>
  <c r="DU11" i="5"/>
  <c r="DT11" i="5"/>
  <c r="DS11" i="5"/>
  <c r="DR11" i="5"/>
  <c r="DQ11" i="5"/>
  <c r="DP11" i="5"/>
  <c r="DO11" i="5"/>
  <c r="DN11" i="5"/>
  <c r="DM11" i="5"/>
  <c r="DL11"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V11" i="5"/>
  <c r="U11" i="5"/>
  <c r="T11" i="5"/>
  <c r="S11" i="5"/>
  <c r="R11" i="5"/>
  <c r="Q11" i="5"/>
  <c r="P11" i="5"/>
  <c r="O11" i="5"/>
  <c r="N11" i="5"/>
  <c r="M11" i="5"/>
  <c r="L11" i="5"/>
  <c r="K11" i="5"/>
  <c r="J11" i="5"/>
  <c r="I11" i="5"/>
  <c r="H11" i="5"/>
  <c r="G11" i="5"/>
  <c r="AR32" i="1034" l="1"/>
  <c r="BJ31" i="1034"/>
  <c r="AF31" i="1034" s="1"/>
  <c r="AT24" i="1034"/>
  <c r="CJ24" i="1034"/>
  <c r="AR24" i="1034" s="1"/>
  <c r="CK24" i="1034"/>
  <c r="AS24" i="1034" s="1"/>
  <c r="BG31" i="1034"/>
  <c r="AD31" i="1034" s="1"/>
  <c r="BF31" i="1034"/>
  <c r="Z31" i="1034" s="1"/>
  <c r="BI31" i="1034"/>
  <c r="AE31" i="1034"/>
  <c r="BK31" i="1034"/>
  <c r="AH31" i="1034" s="1"/>
  <c r="AI31" i="1034" s="1"/>
  <c r="AG31" i="1034"/>
  <c r="BI13" i="1034"/>
  <c r="AE13" i="1034" s="1"/>
  <c r="BF13" i="1034"/>
  <c r="Z13" i="1034" s="1"/>
  <c r="AG13" i="1034"/>
  <c r="CG24" i="1034"/>
  <c r="AM24" i="1034" s="1"/>
  <c r="CH24" i="1034"/>
  <c r="AQ24" i="1034" s="1"/>
  <c r="AF29" i="1034"/>
  <c r="BG13" i="1034"/>
  <c r="AD13" i="1034" s="1"/>
  <c r="BI29" i="1034"/>
  <c r="AE29" i="1034" s="1"/>
  <c r="BJ13" i="1034"/>
  <c r="AF13" i="1034" s="1"/>
  <c r="BH29" i="1034"/>
  <c r="BF29" i="1034"/>
  <c r="Z29" i="1034" s="1"/>
  <c r="BG29" i="1034"/>
  <c r="AD29" i="1034" s="1"/>
  <c r="BI33" i="1034"/>
  <c r="BG33" i="1034"/>
  <c r="BF33" i="1034"/>
  <c r="BJ33" i="1034"/>
  <c r="BJ35" i="1034"/>
  <c r="BG35" i="1034"/>
  <c r="BF35" i="1034"/>
  <c r="BI35" i="1034"/>
  <c r="BH35" i="1034"/>
  <c r="BK35" i="1034" s="1"/>
  <c r="AT34" i="1034"/>
  <c r="CL34" i="1034"/>
  <c r="AU34" i="1034" s="1"/>
  <c r="AV34" i="1034" s="1"/>
  <c r="CL35" i="1034"/>
  <c r="AU35" i="1034" s="1"/>
  <c r="AV35" i="1034" s="1"/>
  <c r="AT35" i="1034"/>
  <c r="CG35" i="1034"/>
  <c r="AM35" i="1034" s="1"/>
  <c r="CK35" i="1034"/>
  <c r="AS35" i="1034" s="1"/>
  <c r="CJ35" i="1034"/>
  <c r="AR35" i="1034" s="1"/>
  <c r="CH35" i="1034"/>
  <c r="AQ35" i="1034" s="1"/>
  <c r="CL27" i="1034"/>
  <c r="AU27" i="1034" s="1"/>
  <c r="AV27" i="1034" s="1"/>
  <c r="AT27" i="1034"/>
  <c r="CN23" i="1034"/>
  <c r="CS23" i="1034" s="1"/>
  <c r="CT23" i="1034" s="1"/>
  <c r="BG7" i="1034"/>
  <c r="AD7" i="1034" s="1"/>
  <c r="BF7" i="1034"/>
  <c r="Z7" i="1034" s="1"/>
  <c r="BI7" i="1034"/>
  <c r="AE7" i="1034" s="1"/>
  <c r="BJ7" i="1034"/>
  <c r="AF7" i="1034" s="1"/>
  <c r="AT16" i="1034"/>
  <c r="CL16" i="1034"/>
  <c r="AU16" i="1034" s="1"/>
  <c r="AV16" i="1034" s="1"/>
  <c r="BK14" i="1034"/>
  <c r="AH14" i="1034" s="1"/>
  <c r="AI14" i="1034" s="1"/>
  <c r="AG14" i="1034"/>
  <c r="BJ10" i="1034"/>
  <c r="BI10" i="1034"/>
  <c r="BG10" i="1034"/>
  <c r="BF10" i="1034"/>
  <c r="CK18" i="1034"/>
  <c r="AS18" i="1034" s="1"/>
  <c r="CJ18" i="1034"/>
  <c r="AR18" i="1034" s="1"/>
  <c r="CH18" i="1034"/>
  <c r="AQ18" i="1034" s="1"/>
  <c r="CG18" i="1034"/>
  <c r="AM18" i="1034" s="1"/>
  <c r="CI18" i="1034"/>
  <c r="BI8" i="1034"/>
  <c r="AE8" i="1034" s="1"/>
  <c r="BG8" i="1034"/>
  <c r="AD8" i="1034" s="1"/>
  <c r="BF8" i="1034"/>
  <c r="Z8" i="1034" s="1"/>
  <c r="BJ8" i="1034"/>
  <c r="AF8" i="1034" s="1"/>
  <c r="BH8" i="1034"/>
  <c r="AT12" i="1034"/>
  <c r="CL12" i="1034"/>
  <c r="AU12" i="1034" s="1"/>
  <c r="AV12" i="1034" s="1"/>
  <c r="CK14" i="1034"/>
  <c r="AS14" i="1034" s="1"/>
  <c r="CJ14" i="1034"/>
  <c r="AR14" i="1034" s="1"/>
  <c r="CH14" i="1034"/>
  <c r="AQ14" i="1034" s="1"/>
  <c r="CG14" i="1034"/>
  <c r="AM14" i="1034" s="1"/>
  <c r="AT14" i="1034"/>
  <c r="CL14" i="1034"/>
  <c r="AU14" i="1034" s="1"/>
  <c r="AV14" i="1034" s="1"/>
  <c r="BK9" i="1034"/>
  <c r="AH9" i="1034" s="1"/>
  <c r="AI9" i="1034" s="1"/>
  <c r="AG9" i="1034"/>
  <c r="BK7" i="1034"/>
  <c r="AH7" i="1034" s="1"/>
  <c r="AI7" i="1034" s="1"/>
  <c r="AG7" i="1034"/>
  <c r="CQ23" i="1034"/>
  <c r="CP23" i="1034"/>
  <c r="CR23" i="1034" s="1"/>
  <c r="BR6" i="1034"/>
  <c r="CU22" i="1034"/>
  <c r="CO22" i="1034"/>
  <c r="CP22" i="1034"/>
  <c r="CT22" i="1034"/>
  <c r="CQ22" i="1034"/>
  <c r="CW6" i="1034"/>
  <c r="CX6" i="1034" s="1"/>
  <c r="CE6" i="1034" s="1"/>
  <c r="BQ22" i="1034"/>
  <c r="BS22" i="1034"/>
  <c r="BU22" i="1034"/>
  <c r="BT22" i="1034"/>
  <c r="BQ23" i="1034"/>
  <c r="BU23" i="1034"/>
  <c r="BT23" i="1034"/>
  <c r="BS23" i="1034"/>
  <c r="F11" i="5"/>
  <c r="E11" i="5"/>
  <c r="BK29" i="1034" l="1"/>
  <c r="AH29" i="1034" s="1"/>
  <c r="AI29" i="1034" s="1"/>
  <c r="AG29" i="1034"/>
  <c r="CU23" i="1034"/>
  <c r="CW23" i="1034" s="1"/>
  <c r="CX23" i="1034" s="1"/>
  <c r="CE23" i="1034" s="1"/>
  <c r="CV23" i="1034"/>
  <c r="AT18" i="1034"/>
  <c r="CL18" i="1034"/>
  <c r="AU18" i="1034" s="1"/>
  <c r="AV18" i="1034" s="1"/>
  <c r="AG8" i="1034"/>
  <c r="BK8" i="1034"/>
  <c r="AH8" i="1034" s="1"/>
  <c r="AI8" i="1034" s="1"/>
  <c r="BQ6" i="1034"/>
  <c r="BV6" i="1034"/>
  <c r="CW22" i="1034"/>
  <c r="CR22" i="1034"/>
  <c r="CY6" i="1034"/>
  <c r="DA6" i="1034"/>
  <c r="CZ6" i="1034"/>
  <c r="BV23" i="1034"/>
  <c r="BW23" i="1034" s="1"/>
  <c r="BD23" i="1034" s="1"/>
  <c r="BV22" i="1034"/>
  <c r="CF6" i="1034"/>
  <c r="CY23" i="1034" l="1"/>
  <c r="DA23" i="1034"/>
  <c r="CZ23" i="1034"/>
  <c r="BY6" i="1034"/>
  <c r="BX6" i="1034"/>
  <c r="BW6" i="1034"/>
  <c r="BD6" i="1034" s="1"/>
  <c r="X6" i="1034" s="1"/>
  <c r="BZ6" i="1034"/>
  <c r="C7" i="1035"/>
  <c r="C7" i="1037" s="1"/>
  <c r="G4" i="1035"/>
  <c r="G4" i="1037" s="1"/>
  <c r="C32" i="1035"/>
  <c r="C32" i="1037" s="1"/>
  <c r="C30" i="1035"/>
  <c r="C30" i="1037" s="1"/>
  <c r="C28" i="1035"/>
  <c r="C28" i="1037" s="1"/>
  <c r="DA22" i="1034"/>
  <c r="CX22" i="1034"/>
  <c r="CE22" i="1034" s="1"/>
  <c r="AK22" i="1034" s="1"/>
  <c r="CY22" i="1034"/>
  <c r="CZ22" i="1034"/>
  <c r="AK23" i="1034"/>
  <c r="BZ23" i="1034"/>
  <c r="BE23" i="1034"/>
  <c r="BH23" i="1034" s="1"/>
  <c r="BY23" i="1034"/>
  <c r="CF23" i="1034"/>
  <c r="CI23" i="1034" s="1"/>
  <c r="BX23" i="1034"/>
  <c r="BZ22" i="1034"/>
  <c r="BY22" i="1034"/>
  <c r="BX22" i="1034"/>
  <c r="BW22" i="1034"/>
  <c r="BD22" i="1034" s="1"/>
  <c r="X22" i="1034" s="1"/>
  <c r="CJ6" i="1034"/>
  <c r="CK6" i="1034"/>
  <c r="CG6" i="1034"/>
  <c r="CH6" i="1034"/>
  <c r="CI6" i="1034"/>
  <c r="BE6" i="1034" l="1"/>
  <c r="BH6" i="1034" s="1"/>
  <c r="AG6" i="1034" s="1"/>
  <c r="G26" i="1035"/>
  <c r="G26" i="1037" s="1"/>
  <c r="C14" i="1035"/>
  <c r="C14" i="1037" s="1"/>
  <c r="C12" i="1035"/>
  <c r="C12" i="1037" s="1"/>
  <c r="G25" i="1035"/>
  <c r="G25" i="1037" s="1"/>
  <c r="G14" i="1035"/>
  <c r="G14" i="1037" s="1"/>
  <c r="G22" i="1035"/>
  <c r="G22" i="1037" s="1"/>
  <c r="G27" i="1035"/>
  <c r="G27" i="1037" s="1"/>
  <c r="G7" i="1035"/>
  <c r="G7" i="1037" s="1"/>
  <c r="C8" i="1035"/>
  <c r="C8" i="1037" s="1"/>
  <c r="G28" i="1035"/>
  <c r="G28" i="1037" s="1"/>
  <c r="C18" i="1035"/>
  <c r="C18" i="1037" s="1"/>
  <c r="C10" i="1035"/>
  <c r="C10" i="1037" s="1"/>
  <c r="G8" i="1035"/>
  <c r="G8" i="1037" s="1"/>
  <c r="G30" i="1035"/>
  <c r="G30" i="1037" s="1"/>
  <c r="C29" i="1035"/>
  <c r="C29" i="1037" s="1"/>
  <c r="C27" i="1035"/>
  <c r="C27" i="1037" s="1"/>
  <c r="D27" i="1035"/>
  <c r="D27" i="1037" s="1"/>
  <c r="C13" i="1035"/>
  <c r="C13" i="1037" s="1"/>
  <c r="C25" i="1035"/>
  <c r="C25" i="1037" s="1"/>
  <c r="C31" i="1035"/>
  <c r="C31" i="1037" s="1"/>
  <c r="G32" i="1035"/>
  <c r="G32" i="1037" s="1"/>
  <c r="C26" i="1035"/>
  <c r="C26" i="1037" s="1"/>
  <c r="C9" i="1035"/>
  <c r="C9" i="1037" s="1"/>
  <c r="G15" i="1035"/>
  <c r="G15" i="1037" s="1"/>
  <c r="C19" i="1035"/>
  <c r="C19" i="1037" s="1"/>
  <c r="C11" i="1035"/>
  <c r="C11" i="1037" s="1"/>
  <c r="G21" i="1035"/>
  <c r="G21" i="1037" s="1"/>
  <c r="CF22" i="1034"/>
  <c r="CJ22" i="1034" s="1"/>
  <c r="AK6" i="1034"/>
  <c r="G3" i="1035" s="1"/>
  <c r="G3" i="1037" s="1"/>
  <c r="X23" i="1034"/>
  <c r="BK23" i="1034"/>
  <c r="BI23" i="1034"/>
  <c r="BG23" i="1034"/>
  <c r="BF23" i="1034"/>
  <c r="BJ23" i="1034"/>
  <c r="CL6" i="1034"/>
  <c r="CL23" i="1034"/>
  <c r="BE22" i="1034"/>
  <c r="CJ23" i="1034"/>
  <c r="CH23" i="1034"/>
  <c r="CG23" i="1034"/>
  <c r="CK23" i="1034"/>
  <c r="BK6" i="1034" l="1"/>
  <c r="AH6" i="1034" s="1"/>
  <c r="AI6" i="1034" s="1"/>
  <c r="BG6" i="1034"/>
  <c r="AD6" i="1034" s="1"/>
  <c r="BF6" i="1034"/>
  <c r="Z6" i="1034" s="1"/>
  <c r="BJ6" i="1034"/>
  <c r="AF6" i="1034" s="1"/>
  <c r="BI6" i="1034"/>
  <c r="AE6" i="1034" s="1"/>
  <c r="G11" i="1035"/>
  <c r="G11" i="1037" s="1"/>
  <c r="G20" i="1035"/>
  <c r="G20" i="1037" s="1"/>
  <c r="D18" i="1035"/>
  <c r="D18" i="1037" s="1"/>
  <c r="C21" i="1035"/>
  <c r="C21" i="1037" s="1"/>
  <c r="G19" i="1035"/>
  <c r="G19" i="1037" s="1"/>
  <c r="G31" i="1035"/>
  <c r="G31" i="1037" s="1"/>
  <c r="G5" i="1035"/>
  <c r="G5" i="1037" s="1"/>
  <c r="G12" i="1035"/>
  <c r="G12" i="1037" s="1"/>
  <c r="G23" i="1035"/>
  <c r="G23" i="1037" s="1"/>
  <c r="C4" i="1035"/>
  <c r="C4" i="1037" s="1"/>
  <c r="G6" i="1035"/>
  <c r="G6" i="1037" s="1"/>
  <c r="C3" i="1035"/>
  <c r="C3" i="1037" s="1"/>
  <c r="C5" i="1035"/>
  <c r="C5" i="1037" s="1"/>
  <c r="D29" i="1035"/>
  <c r="D29" i="1037" s="1"/>
  <c r="H32" i="1035"/>
  <c r="H32" i="1037" s="1"/>
  <c r="C23" i="1035"/>
  <c r="C23" i="1037" s="1"/>
  <c r="H24" i="1035"/>
  <c r="H24" i="1037" s="1"/>
  <c r="G18" i="1035"/>
  <c r="G18" i="1037" s="1"/>
  <c r="G10" i="1035"/>
  <c r="G10" i="1037" s="1"/>
  <c r="G29" i="1035"/>
  <c r="G29" i="1037" s="1"/>
  <c r="D3" i="1035"/>
  <c r="D3" i="1037" s="1"/>
  <c r="C20" i="1035"/>
  <c r="C20" i="1037" s="1"/>
  <c r="D28" i="1035"/>
  <c r="D28" i="1037" s="1"/>
  <c r="C15" i="1035"/>
  <c r="C15" i="1037" s="1"/>
  <c r="C22" i="1035"/>
  <c r="C22" i="1037" s="1"/>
  <c r="G13" i="1035"/>
  <c r="G13" i="1037" s="1"/>
  <c r="G9" i="1035"/>
  <c r="G9" i="1037" s="1"/>
  <c r="C6" i="1035"/>
  <c r="C6" i="1037" s="1"/>
  <c r="D4" i="1035"/>
  <c r="D4" i="1037" s="1"/>
  <c r="C24" i="1035"/>
  <c r="C24" i="1037" s="1"/>
  <c r="CI22" i="1034"/>
  <c r="AT22" i="1034" s="1"/>
  <c r="CK22" i="1034"/>
  <c r="AS22" i="1034" s="1"/>
  <c r="CG22" i="1034"/>
  <c r="AM22" i="1034" s="1"/>
  <c r="CH22" i="1034"/>
  <c r="AQ22" i="1034" s="1"/>
  <c r="Z23" i="1034"/>
  <c r="AU23" i="1034"/>
  <c r="AV23" i="1034" s="1"/>
  <c r="AR22" i="1034"/>
  <c r="AQ23" i="1034"/>
  <c r="AS23" i="1034"/>
  <c r="AR23" i="1034"/>
  <c r="AM23" i="1034"/>
  <c r="AF23" i="1034"/>
  <c r="AE23" i="1034"/>
  <c r="AQ6" i="1034"/>
  <c r="AR6" i="1034"/>
  <c r="AM6" i="1034"/>
  <c r="H3" i="1035" s="1"/>
  <c r="H3" i="1037" s="1"/>
  <c r="AS6" i="1034"/>
  <c r="AD23" i="1034"/>
  <c r="AT23" i="1034"/>
  <c r="AG23" i="1034"/>
  <c r="BG22" i="1034"/>
  <c r="BF22" i="1034"/>
  <c r="BJ22" i="1034"/>
  <c r="BI22" i="1034"/>
  <c r="BH22" i="1034"/>
  <c r="AG22" i="1034" s="1"/>
  <c r="AK2" i="1034" l="1"/>
  <c r="H12" i="1035"/>
  <c r="H12" i="1037" s="1"/>
  <c r="X2" i="1034"/>
  <c r="CL22" i="1034"/>
  <c r="AU22" i="1034" s="1"/>
  <c r="AV22" i="1034" s="1"/>
  <c r="H14" i="1035"/>
  <c r="H14" i="1037" s="1"/>
  <c r="H19" i="1035"/>
  <c r="H19" i="1037" s="1"/>
  <c r="D21" i="1035"/>
  <c r="D21" i="1037" s="1"/>
  <c r="H7" i="1035"/>
  <c r="H7" i="1037" s="1"/>
  <c r="H22" i="1035"/>
  <c r="H22" i="1037" s="1"/>
  <c r="H21" i="1035"/>
  <c r="H21" i="1037" s="1"/>
  <c r="H20" i="1035"/>
  <c r="H20" i="1037" s="1"/>
  <c r="H6" i="1035"/>
  <c r="H6" i="1037" s="1"/>
  <c r="D32" i="1035"/>
  <c r="D32" i="1037" s="1"/>
  <c r="D23" i="1035"/>
  <c r="D23" i="1037" s="1"/>
  <c r="D15" i="1035"/>
  <c r="D15" i="1037" s="1"/>
  <c r="H11" i="1035"/>
  <c r="H11" i="1037" s="1"/>
  <c r="H27" i="1035"/>
  <c r="H27" i="1037" s="1"/>
  <c r="H8" i="1035"/>
  <c r="H8" i="1037" s="1"/>
  <c r="D26" i="1035"/>
  <c r="D26" i="1037" s="1"/>
  <c r="D9" i="1035"/>
  <c r="D9" i="1037" s="1"/>
  <c r="D12" i="1035"/>
  <c r="D12" i="1037" s="1"/>
  <c r="D8" i="1035"/>
  <c r="D8" i="1037" s="1"/>
  <c r="G24" i="1035"/>
  <c r="G24" i="1037" s="1"/>
  <c r="D13" i="1035"/>
  <c r="D13" i="1037" s="1"/>
  <c r="D22" i="1035"/>
  <c r="D22" i="1037" s="1"/>
  <c r="D11" i="1035"/>
  <c r="D11" i="1037" s="1"/>
  <c r="H29" i="1035"/>
  <c r="H29" i="1037" s="1"/>
  <c r="H15" i="1035"/>
  <c r="H15" i="1037" s="1"/>
  <c r="H26" i="1035"/>
  <c r="H26" i="1037" s="1"/>
  <c r="D24" i="1035"/>
  <c r="D24" i="1037" s="1"/>
  <c r="H10" i="1035"/>
  <c r="H10" i="1037" s="1"/>
  <c r="H5" i="1035"/>
  <c r="H5" i="1037" s="1"/>
  <c r="D5" i="1035"/>
  <c r="D5" i="1037" s="1"/>
  <c r="D30" i="1035"/>
  <c r="D30" i="1037" s="1"/>
  <c r="D7" i="1035"/>
  <c r="D7" i="1037" s="1"/>
  <c r="D10" i="1035"/>
  <c r="D10" i="1037" s="1"/>
  <c r="H25" i="1035"/>
  <c r="H25" i="1037" s="1"/>
  <c r="H31" i="1035"/>
  <c r="H31" i="1037" s="1"/>
  <c r="H30" i="1035"/>
  <c r="H30" i="1037" s="1"/>
  <c r="D31" i="1035"/>
  <c r="D31" i="1037" s="1"/>
  <c r="H4" i="1035"/>
  <c r="H4" i="1037" s="1"/>
  <c r="H13" i="1035"/>
  <c r="H13" i="1037" s="1"/>
  <c r="D14" i="1035"/>
  <c r="D14" i="1037" s="1"/>
  <c r="AH23" i="1034"/>
  <c r="AI23" i="1034" s="1"/>
  <c r="AF22" i="1034"/>
  <c r="Z22" i="1034"/>
  <c r="D19" i="1035" s="1"/>
  <c r="D19" i="1037" s="1"/>
  <c r="AD22" i="1034"/>
  <c r="AE22" i="1034"/>
  <c r="AT6" i="1034"/>
  <c r="BK22" i="1034"/>
  <c r="K44" i="4" l="1"/>
  <c r="E44" i="4"/>
  <c r="AG2" i="1034"/>
  <c r="AE2" i="1034"/>
  <c r="Z2" i="1034"/>
  <c r="AT2" i="1034"/>
  <c r="H18" i="1035"/>
  <c r="H18" i="1037" s="1"/>
  <c r="H9" i="1035"/>
  <c r="H9" i="1037" s="1"/>
  <c r="H23" i="1035"/>
  <c r="H23" i="1037" s="1"/>
  <c r="AD2" i="1034"/>
  <c r="H28" i="1035"/>
  <c r="H28" i="1037" s="1"/>
  <c r="D6" i="1035"/>
  <c r="D6" i="1037" s="1"/>
  <c r="D25" i="1035"/>
  <c r="D25" i="1037" s="1"/>
  <c r="D20" i="1035"/>
  <c r="D20" i="1037" s="1"/>
  <c r="AF2" i="1034"/>
  <c r="AQ2" i="1034"/>
  <c r="AS2" i="1034"/>
  <c r="AH22" i="1034"/>
  <c r="AI22" i="1034" s="1"/>
  <c r="AU6" i="1034"/>
  <c r="AV6" i="1034" s="1"/>
  <c r="AR2" i="1034" l="1"/>
  <c r="AM2" i="1034"/>
  <c r="E50" i="4"/>
  <c r="AV2" i="1034"/>
  <c r="AU2" i="1034"/>
  <c r="K49" i="4"/>
  <c r="E48" i="4"/>
  <c r="E49" i="4"/>
  <c r="E47" i="4"/>
  <c r="K47" i="4"/>
  <c r="E45" i="4"/>
  <c r="K50" i="4"/>
  <c r="AI2" i="1034"/>
  <c r="AH2" i="1034"/>
  <c r="K48" i="4" l="1"/>
  <c r="K45" i="4"/>
  <c r="K52" i="4"/>
  <c r="K51" i="4"/>
  <c r="E51" i="4"/>
  <c r="E52" i="4"/>
  <c r="Q64" i="7" l="1"/>
  <c r="B13" i="7"/>
  <c r="B14" i="7" s="1"/>
  <c r="B15" i="7" s="1"/>
  <c r="B16" i="7" s="1"/>
  <c r="B17" i="7" s="1"/>
  <c r="B18" i="7" s="1"/>
  <c r="B19" i="7" s="1"/>
  <c r="B20" i="7" s="1"/>
  <c r="B21" i="7" s="1"/>
  <c r="B22" i="7" s="1"/>
  <c r="B23" i="7" s="1"/>
  <c r="B24" i="7" s="1"/>
  <c r="B25" i="7" s="1"/>
  <c r="B26" i="7" s="1"/>
  <c r="B27" i="7" s="1"/>
  <c r="B28" i="7" s="1"/>
  <c r="B29" i="7" s="1"/>
  <c r="B30" i="7" s="1"/>
  <c r="B31" i="7" s="1"/>
  <c r="B32" i="7" s="1"/>
  <c r="B33" i="7" s="1"/>
  <c r="B34" i="7" s="1"/>
  <c r="B35" i="7" s="1"/>
  <c r="B36" i="7" s="1"/>
  <c r="B37" i="7" s="1"/>
  <c r="B38" i="7" s="1"/>
  <c r="B39" i="7" s="1"/>
  <c r="B40" i="7" s="1"/>
  <c r="B41" i="7" s="1"/>
  <c r="B42" i="7" s="1"/>
  <c r="B43" i="7" s="1"/>
  <c r="B44" i="7" s="1"/>
  <c r="B45" i="7" s="1"/>
  <c r="B46" i="7" s="1"/>
  <c r="B47" i="7" s="1"/>
  <c r="B48" i="7" s="1"/>
  <c r="B49" i="7" s="1"/>
  <c r="B50" i="7" s="1"/>
  <c r="B51" i="7" s="1"/>
  <c r="B52" i="7" s="1"/>
  <c r="B53" i="7" s="1"/>
  <c r="B54" i="7" s="1"/>
  <c r="B55" i="7" s="1"/>
  <c r="B56" i="7" s="1"/>
  <c r="B57" i="7" s="1"/>
  <c r="B58" i="7" s="1"/>
  <c r="B59" i="7" s="1"/>
  <c r="B60" i="7" s="1"/>
  <c r="B61" i="7" s="1"/>
  <c r="B62" i="7" s="1"/>
  <c r="B63" i="7" s="1"/>
  <c r="B64" i="7" s="1"/>
  <c r="B65" i="7" s="1"/>
  <c r="B66" i="7" s="1"/>
  <c r="B67" i="7" s="1"/>
  <c r="B68" i="7" s="1"/>
  <c r="B69" i="7" s="1"/>
  <c r="B70" i="7" s="1"/>
  <c r="B71" i="7" s="1"/>
  <c r="B72" i="7" s="1"/>
  <c r="B73" i="7" s="1"/>
  <c r="B74" i="7" s="1"/>
  <c r="B75" i="7" s="1"/>
  <c r="B76" i="7" s="1"/>
  <c r="B77" i="7" s="1"/>
  <c r="B78" i="7" s="1"/>
  <c r="B79" i="7" s="1"/>
  <c r="B80" i="7" s="1"/>
  <c r="B81" i="7" s="1"/>
  <c r="B82" i="7" s="1"/>
  <c r="B83" i="7" s="1"/>
  <c r="B84" i="7" s="1"/>
  <c r="B85" i="7" s="1"/>
  <c r="B86" i="7" s="1"/>
  <c r="B87" i="7" s="1"/>
  <c r="B88" i="7" s="1"/>
  <c r="B89" i="7" s="1"/>
  <c r="B90" i="7" s="1"/>
  <c r="B91" i="7" s="1"/>
  <c r="B92" i="7" s="1"/>
  <c r="B93" i="7" s="1"/>
  <c r="B94" i="7" s="1"/>
  <c r="B95" i="7" s="1"/>
  <c r="B96" i="7" s="1"/>
  <c r="B97" i="7" s="1"/>
  <c r="B98" i="7" s="1"/>
  <c r="B99" i="7" s="1"/>
  <c r="B100" i="7" s="1"/>
  <c r="B101" i="7" s="1"/>
  <c r="B102" i="7" s="1"/>
  <c r="B103" i="7" s="1"/>
  <c r="B104" i="7" s="1"/>
  <c r="B105" i="7" s="1"/>
  <c r="B106" i="7" s="1"/>
  <c r="B107" i="7" s="1"/>
  <c r="B108" i="7" s="1"/>
  <c r="B109" i="7" s="1"/>
  <c r="B110" i="7" s="1"/>
  <c r="B111" i="7" s="1"/>
  <c r="B112" i="7" s="1"/>
  <c r="B113" i="7" s="1"/>
  <c r="B114" i="7" s="1"/>
  <c r="B115" i="7" s="1"/>
  <c r="B116" i="7" s="1"/>
  <c r="B117" i="7" s="1"/>
  <c r="B118" i="7" s="1"/>
  <c r="B119" i="7" s="1"/>
  <c r="B120" i="7" s="1"/>
  <c r="B121" i="7" s="1"/>
  <c r="B122" i="7" s="1"/>
  <c r="B123" i="7" s="1"/>
  <c r="B124" i="7" s="1"/>
  <c r="B125" i="7" s="1"/>
  <c r="B126" i="7" s="1"/>
  <c r="B127" i="7" s="1"/>
  <c r="B128" i="7" s="1"/>
  <c r="B129" i="7" s="1"/>
  <c r="B130" i="7" s="1"/>
  <c r="B131" i="7" s="1"/>
  <c r="B132" i="7" s="1"/>
  <c r="B133" i="7" s="1"/>
  <c r="B134" i="7" s="1"/>
  <c r="B135" i="7" s="1"/>
  <c r="B136" i="7" s="1"/>
  <c r="B137" i="7" s="1"/>
  <c r="B138" i="7" s="1"/>
  <c r="B139" i="7" s="1"/>
  <c r="B140" i="7" s="1"/>
  <c r="B141" i="7" s="1"/>
  <c r="B142" i="7" s="1"/>
  <c r="B143" i="7" s="1"/>
  <c r="B144" i="7" s="1"/>
  <c r="B145" i="7" s="1"/>
  <c r="B146" i="7" s="1"/>
  <c r="B147" i="7" s="1"/>
  <c r="B148" i="7" s="1"/>
  <c r="B149" i="7" s="1"/>
  <c r="B150" i="7" s="1"/>
  <c r="B151" i="7" s="1"/>
  <c r="B152" i="7" s="1"/>
  <c r="B153" i="7" s="1"/>
  <c r="B154" i="7" s="1"/>
  <c r="B155" i="7" s="1"/>
  <c r="B156" i="7" s="1"/>
  <c r="B157" i="7" s="1"/>
  <c r="B158" i="7" s="1"/>
  <c r="B159" i="7" s="1"/>
  <c r="B160" i="7" s="1"/>
  <c r="B161" i="7" s="1"/>
  <c r="B162" i="7" s="1"/>
  <c r="B163" i="7" s="1"/>
  <c r="B164" i="7" s="1"/>
  <c r="B165" i="7" s="1"/>
  <c r="B166" i="7" s="1"/>
  <c r="B167" i="7" s="1"/>
  <c r="B168" i="7" s="1"/>
  <c r="B169" i="7" s="1"/>
  <c r="B170" i="7" s="1"/>
  <c r="B171" i="7" s="1"/>
  <c r="B172" i="7" s="1"/>
  <c r="B173" i="7" s="1"/>
  <c r="B174" i="7" s="1"/>
  <c r="B175" i="7" s="1"/>
  <c r="B176" i="7" s="1"/>
  <c r="B177" i="7" s="1"/>
  <c r="B178" i="7" s="1"/>
  <c r="B179" i="7" s="1"/>
  <c r="B180" i="7" s="1"/>
  <c r="B181" i="7" s="1"/>
  <c r="Q108" i="7"/>
  <c r="Q96" i="7"/>
  <c r="I162" i="7"/>
  <c r="Q162" i="7"/>
  <c r="W108" i="7" l="1"/>
  <c r="W96" i="7"/>
  <c r="J162" i="7"/>
  <c r="M162" i="7" s="1"/>
  <c r="P162" i="7" s="1"/>
  <c r="I164" i="7"/>
  <c r="J164" i="7" s="1"/>
  <c r="K164" i="7" s="1"/>
  <c r="I165" i="7"/>
  <c r="J165" i="7" s="1"/>
  <c r="K165" i="7" s="1"/>
  <c r="Q123" i="7"/>
  <c r="Q103" i="7"/>
  <c r="V108" i="7" l="1"/>
  <c r="V96" i="7"/>
  <c r="O162" i="7"/>
  <c r="K162" i="7"/>
  <c r="N162" i="7"/>
  <c r="L162" i="7"/>
  <c r="W123" i="7"/>
  <c r="W103" i="7"/>
  <c r="P212" i="9"/>
  <c r="O212" i="9"/>
  <c r="N212" i="9"/>
  <c r="M212" i="9"/>
  <c r="L212" i="9"/>
  <c r="V212" i="9" s="1"/>
  <c r="K212" i="9"/>
  <c r="J212" i="9"/>
  <c r="I212" i="9"/>
  <c r="X212" i="9" s="1"/>
  <c r="H212" i="9"/>
  <c r="G212" i="9"/>
  <c r="F212" i="9"/>
  <c r="E212" i="9"/>
  <c r="D212" i="9"/>
  <c r="C212" i="9"/>
  <c r="P211" i="9"/>
  <c r="O211" i="9"/>
  <c r="N211" i="9"/>
  <c r="M211" i="9"/>
  <c r="L211" i="9"/>
  <c r="V211" i="9" s="1"/>
  <c r="K211" i="9"/>
  <c r="J211" i="9"/>
  <c r="I211" i="9"/>
  <c r="U211" i="9" s="1"/>
  <c r="H211" i="9"/>
  <c r="G211" i="9"/>
  <c r="F211" i="9"/>
  <c r="E211" i="9"/>
  <c r="D211" i="9"/>
  <c r="C211" i="9"/>
  <c r="P210" i="9"/>
  <c r="O210" i="9"/>
  <c r="N210" i="9"/>
  <c r="M210" i="9"/>
  <c r="L210" i="9"/>
  <c r="V210" i="9" s="1"/>
  <c r="K210" i="9"/>
  <c r="J210" i="9"/>
  <c r="I210" i="9"/>
  <c r="X210" i="9" s="1"/>
  <c r="H210" i="9"/>
  <c r="G210" i="9"/>
  <c r="F210" i="9"/>
  <c r="T210" i="9" s="1"/>
  <c r="E210" i="9"/>
  <c r="D210" i="9"/>
  <c r="C210" i="9"/>
  <c r="P209" i="9"/>
  <c r="O209" i="9"/>
  <c r="N209" i="9"/>
  <c r="M209" i="9"/>
  <c r="L209" i="9"/>
  <c r="V209" i="9" s="1"/>
  <c r="K209" i="9"/>
  <c r="J209" i="9"/>
  <c r="I209" i="9"/>
  <c r="U209" i="9" s="1"/>
  <c r="H209" i="9"/>
  <c r="G209" i="9"/>
  <c r="F209" i="9"/>
  <c r="E209" i="9"/>
  <c r="D209" i="9"/>
  <c r="C209" i="9"/>
  <c r="P208" i="9"/>
  <c r="O208" i="9"/>
  <c r="N208" i="9"/>
  <c r="M208" i="9"/>
  <c r="L208" i="9"/>
  <c r="V208" i="9" s="1"/>
  <c r="K208" i="9"/>
  <c r="J208" i="9"/>
  <c r="I208" i="9"/>
  <c r="U208" i="9" s="1"/>
  <c r="H208" i="9"/>
  <c r="G208" i="9"/>
  <c r="F208" i="9"/>
  <c r="T208" i="9" s="1"/>
  <c r="E208" i="9"/>
  <c r="D208" i="9"/>
  <c r="C208" i="9"/>
  <c r="P207" i="9"/>
  <c r="O207" i="9"/>
  <c r="N207" i="9"/>
  <c r="M207" i="9"/>
  <c r="L207" i="9"/>
  <c r="V207" i="9" s="1"/>
  <c r="K207" i="9"/>
  <c r="J207" i="9"/>
  <c r="I207" i="9"/>
  <c r="X207" i="9" s="1"/>
  <c r="H207" i="9"/>
  <c r="G207" i="9"/>
  <c r="F207" i="9"/>
  <c r="E207" i="9"/>
  <c r="D207" i="9"/>
  <c r="C207" i="9"/>
  <c r="P206" i="9"/>
  <c r="O206" i="9"/>
  <c r="N206" i="9"/>
  <c r="M206" i="9"/>
  <c r="L206" i="9"/>
  <c r="V206" i="9" s="1"/>
  <c r="K206" i="9"/>
  <c r="J206" i="9"/>
  <c r="I206" i="9"/>
  <c r="U206" i="9" s="1"/>
  <c r="H206" i="9"/>
  <c r="G206" i="9"/>
  <c r="F206" i="9"/>
  <c r="E206" i="9"/>
  <c r="D206" i="9"/>
  <c r="C206" i="9"/>
  <c r="P205" i="9"/>
  <c r="O205" i="9"/>
  <c r="N205" i="9"/>
  <c r="M205" i="9"/>
  <c r="L205" i="9"/>
  <c r="V205" i="9" s="1"/>
  <c r="K205" i="9"/>
  <c r="J205" i="9"/>
  <c r="I205" i="9"/>
  <c r="X205" i="9" s="1"/>
  <c r="H205" i="9"/>
  <c r="G205" i="9"/>
  <c r="F205" i="9"/>
  <c r="T205" i="9" s="1"/>
  <c r="E205" i="9"/>
  <c r="D205" i="9"/>
  <c r="C205" i="9"/>
  <c r="P204" i="9"/>
  <c r="O204" i="9"/>
  <c r="N204" i="9"/>
  <c r="M204" i="9"/>
  <c r="L204" i="9"/>
  <c r="V204" i="9" s="1"/>
  <c r="K204" i="9"/>
  <c r="J204" i="9"/>
  <c r="I204" i="9"/>
  <c r="X204" i="9" s="1"/>
  <c r="H204" i="9"/>
  <c r="G204" i="9"/>
  <c r="F204" i="9"/>
  <c r="E204" i="9"/>
  <c r="D204" i="9"/>
  <c r="C204" i="9"/>
  <c r="P203" i="9"/>
  <c r="O203" i="9"/>
  <c r="N203" i="9"/>
  <c r="M203" i="9"/>
  <c r="L203" i="9"/>
  <c r="V203" i="9" s="1"/>
  <c r="K203" i="9"/>
  <c r="J203" i="9"/>
  <c r="I203" i="9"/>
  <c r="U203" i="9" s="1"/>
  <c r="H203" i="9"/>
  <c r="G203" i="9"/>
  <c r="F203" i="9"/>
  <c r="E203" i="9"/>
  <c r="D203" i="9"/>
  <c r="C203" i="9"/>
  <c r="P202" i="9"/>
  <c r="O202" i="9"/>
  <c r="N202" i="9"/>
  <c r="M202" i="9"/>
  <c r="L202" i="9"/>
  <c r="V202" i="9" s="1"/>
  <c r="K202" i="9"/>
  <c r="J202" i="9"/>
  <c r="I202" i="9"/>
  <c r="X202" i="9" s="1"/>
  <c r="H202" i="9"/>
  <c r="G202" i="9"/>
  <c r="F202" i="9"/>
  <c r="T202" i="9" s="1"/>
  <c r="E202" i="9"/>
  <c r="D202" i="9"/>
  <c r="C202" i="9"/>
  <c r="P201" i="9"/>
  <c r="O201" i="9"/>
  <c r="N201" i="9"/>
  <c r="M201" i="9"/>
  <c r="L201" i="9"/>
  <c r="V201" i="9" s="1"/>
  <c r="K201" i="9"/>
  <c r="J201" i="9"/>
  <c r="I201" i="9"/>
  <c r="U201" i="9" s="1"/>
  <c r="H201" i="9"/>
  <c r="G201" i="9"/>
  <c r="F201" i="9"/>
  <c r="E201" i="9"/>
  <c r="D201" i="9"/>
  <c r="C201" i="9"/>
  <c r="P200" i="9"/>
  <c r="O200" i="9"/>
  <c r="N200" i="9"/>
  <c r="M200" i="9"/>
  <c r="L200" i="9"/>
  <c r="V200" i="9" s="1"/>
  <c r="K200" i="9"/>
  <c r="J200" i="9"/>
  <c r="I200" i="9"/>
  <c r="U200" i="9" s="1"/>
  <c r="H200" i="9"/>
  <c r="G200" i="9"/>
  <c r="F200" i="9"/>
  <c r="T200" i="9" s="1"/>
  <c r="E200" i="9"/>
  <c r="D200" i="9"/>
  <c r="C200" i="9"/>
  <c r="P199" i="9"/>
  <c r="O199" i="9"/>
  <c r="N199" i="9"/>
  <c r="M199" i="9"/>
  <c r="L199" i="9"/>
  <c r="V199" i="9" s="1"/>
  <c r="K199" i="9"/>
  <c r="J199" i="9"/>
  <c r="I199" i="9"/>
  <c r="U199" i="9" s="1"/>
  <c r="H199" i="9"/>
  <c r="G199" i="9"/>
  <c r="F199" i="9"/>
  <c r="E199" i="9"/>
  <c r="D199" i="9"/>
  <c r="C199" i="9"/>
  <c r="P198" i="9"/>
  <c r="O198" i="9"/>
  <c r="N198" i="9"/>
  <c r="M198" i="9"/>
  <c r="L198" i="9"/>
  <c r="V198" i="9" s="1"/>
  <c r="K198" i="9"/>
  <c r="J198" i="9"/>
  <c r="I198" i="9"/>
  <c r="X198" i="9" s="1"/>
  <c r="H198" i="9"/>
  <c r="G198" i="9"/>
  <c r="F198" i="9"/>
  <c r="T198" i="9" s="1"/>
  <c r="E198" i="9"/>
  <c r="D198" i="9"/>
  <c r="C198" i="9"/>
  <c r="P197" i="9"/>
  <c r="O197" i="9"/>
  <c r="N197" i="9"/>
  <c r="M197" i="9"/>
  <c r="L197" i="9"/>
  <c r="V197" i="9" s="1"/>
  <c r="K197" i="9"/>
  <c r="J197" i="9"/>
  <c r="I197" i="9"/>
  <c r="U197" i="9" s="1"/>
  <c r="H197" i="9"/>
  <c r="G197" i="9"/>
  <c r="F197" i="9"/>
  <c r="T197" i="9" s="1"/>
  <c r="E197" i="9"/>
  <c r="D197" i="9"/>
  <c r="C197" i="9"/>
  <c r="P196" i="9"/>
  <c r="O196" i="9"/>
  <c r="N196" i="9"/>
  <c r="M196" i="9"/>
  <c r="L196" i="9"/>
  <c r="V196" i="9" s="1"/>
  <c r="K196" i="9"/>
  <c r="J196" i="9"/>
  <c r="I196" i="9"/>
  <c r="X196" i="9" s="1"/>
  <c r="H196" i="9"/>
  <c r="G196" i="9"/>
  <c r="F196" i="9"/>
  <c r="E196" i="9"/>
  <c r="D196" i="9"/>
  <c r="C196" i="9"/>
  <c r="P195" i="9"/>
  <c r="O195" i="9"/>
  <c r="N195" i="9"/>
  <c r="M195" i="9"/>
  <c r="L195" i="9"/>
  <c r="V195" i="9" s="1"/>
  <c r="K195" i="9"/>
  <c r="J195" i="9"/>
  <c r="I195" i="9"/>
  <c r="U195" i="9" s="1"/>
  <c r="H195" i="9"/>
  <c r="G195" i="9"/>
  <c r="F195" i="9"/>
  <c r="E195" i="9"/>
  <c r="D195" i="9"/>
  <c r="C195" i="9"/>
  <c r="P194" i="9"/>
  <c r="O194" i="9"/>
  <c r="N194" i="9"/>
  <c r="M194" i="9"/>
  <c r="L194" i="9"/>
  <c r="V194" i="9" s="1"/>
  <c r="K194" i="9"/>
  <c r="J194" i="9"/>
  <c r="I194" i="9"/>
  <c r="X194" i="9" s="1"/>
  <c r="H194" i="9"/>
  <c r="G194" i="9"/>
  <c r="F194" i="9"/>
  <c r="T194" i="9" s="1"/>
  <c r="E194" i="9"/>
  <c r="D194" i="9"/>
  <c r="C194" i="9"/>
  <c r="P193" i="9"/>
  <c r="O193" i="9"/>
  <c r="N193" i="9"/>
  <c r="M193" i="9"/>
  <c r="L193" i="9"/>
  <c r="V193" i="9" s="1"/>
  <c r="K193" i="9"/>
  <c r="J193" i="9"/>
  <c r="I193" i="9"/>
  <c r="U193" i="9" s="1"/>
  <c r="H193" i="9"/>
  <c r="G193" i="9"/>
  <c r="F193" i="9"/>
  <c r="E193" i="9"/>
  <c r="D193" i="9"/>
  <c r="C193" i="9"/>
  <c r="P192" i="9"/>
  <c r="O192" i="9"/>
  <c r="N192" i="9"/>
  <c r="M192" i="9"/>
  <c r="L192" i="9"/>
  <c r="V192" i="9" s="1"/>
  <c r="K192" i="9"/>
  <c r="J192" i="9"/>
  <c r="I192" i="9"/>
  <c r="U192" i="9" s="1"/>
  <c r="H192" i="9"/>
  <c r="G192" i="9"/>
  <c r="F192" i="9"/>
  <c r="T192" i="9" s="1"/>
  <c r="E192" i="9"/>
  <c r="D192" i="9"/>
  <c r="C192" i="9"/>
  <c r="P191" i="9"/>
  <c r="O191" i="9"/>
  <c r="N191" i="9"/>
  <c r="M191" i="9"/>
  <c r="L191" i="9"/>
  <c r="V191" i="9" s="1"/>
  <c r="K191" i="9"/>
  <c r="J191" i="9"/>
  <c r="I191" i="9"/>
  <c r="U191" i="9" s="1"/>
  <c r="H191" i="9"/>
  <c r="G191" i="9"/>
  <c r="F191" i="9"/>
  <c r="T191" i="9" s="1"/>
  <c r="E191" i="9"/>
  <c r="D191" i="9"/>
  <c r="C191" i="9"/>
  <c r="P190" i="9"/>
  <c r="O190" i="9"/>
  <c r="N190" i="9"/>
  <c r="M190" i="9"/>
  <c r="L190" i="9"/>
  <c r="V190" i="9" s="1"/>
  <c r="K190" i="9"/>
  <c r="J190" i="9"/>
  <c r="I190" i="9"/>
  <c r="H190" i="9"/>
  <c r="G190" i="9"/>
  <c r="F190" i="9"/>
  <c r="T190" i="9" s="1"/>
  <c r="E190" i="9"/>
  <c r="D190" i="9"/>
  <c r="C190" i="9"/>
  <c r="P189" i="9"/>
  <c r="O189" i="9"/>
  <c r="N189" i="9"/>
  <c r="M189" i="9"/>
  <c r="L189" i="9"/>
  <c r="V189" i="9" s="1"/>
  <c r="K189" i="9"/>
  <c r="J189" i="9"/>
  <c r="I189" i="9"/>
  <c r="X189" i="9" s="1"/>
  <c r="H189" i="9"/>
  <c r="G189" i="9"/>
  <c r="F189" i="9"/>
  <c r="E189" i="9"/>
  <c r="D189" i="9"/>
  <c r="C189" i="9"/>
  <c r="P188" i="9"/>
  <c r="O188" i="9"/>
  <c r="N188" i="9"/>
  <c r="M188" i="9"/>
  <c r="L188" i="9"/>
  <c r="V188" i="9" s="1"/>
  <c r="K188" i="9"/>
  <c r="J188" i="9"/>
  <c r="I188" i="9"/>
  <c r="U188" i="9" s="1"/>
  <c r="H188" i="9"/>
  <c r="G188" i="9"/>
  <c r="F188" i="9"/>
  <c r="E188" i="9"/>
  <c r="D188" i="9"/>
  <c r="C188" i="9"/>
  <c r="P187" i="9"/>
  <c r="O187" i="9"/>
  <c r="N187" i="9"/>
  <c r="M187" i="9"/>
  <c r="L187" i="9"/>
  <c r="V187" i="9" s="1"/>
  <c r="K187" i="9"/>
  <c r="J187" i="9"/>
  <c r="I187" i="9"/>
  <c r="U187" i="9" s="1"/>
  <c r="H187" i="9"/>
  <c r="G187" i="9"/>
  <c r="F187" i="9"/>
  <c r="E187" i="9"/>
  <c r="D187" i="9"/>
  <c r="C187" i="9"/>
  <c r="P186" i="9"/>
  <c r="O186" i="9"/>
  <c r="N186" i="9"/>
  <c r="M186" i="9"/>
  <c r="L186" i="9"/>
  <c r="V186" i="9" s="1"/>
  <c r="K186" i="9"/>
  <c r="J186" i="9"/>
  <c r="I186" i="9"/>
  <c r="X186" i="9" s="1"/>
  <c r="H186" i="9"/>
  <c r="G186" i="9"/>
  <c r="F186" i="9"/>
  <c r="T186" i="9" s="1"/>
  <c r="E186" i="9"/>
  <c r="D186" i="9"/>
  <c r="C186" i="9"/>
  <c r="P185" i="9"/>
  <c r="O185" i="9"/>
  <c r="N185" i="9"/>
  <c r="M185" i="9"/>
  <c r="L185" i="9"/>
  <c r="V185" i="9" s="1"/>
  <c r="K185" i="9"/>
  <c r="J185" i="9"/>
  <c r="I185" i="9"/>
  <c r="U185" i="9" s="1"/>
  <c r="H185" i="9"/>
  <c r="G185" i="9"/>
  <c r="F185" i="9"/>
  <c r="E185" i="9"/>
  <c r="D185" i="9"/>
  <c r="C185" i="9"/>
  <c r="P184" i="9"/>
  <c r="O184" i="9"/>
  <c r="N184" i="9"/>
  <c r="M184" i="9"/>
  <c r="L184" i="9"/>
  <c r="V184" i="9" s="1"/>
  <c r="K184" i="9"/>
  <c r="J184" i="9"/>
  <c r="I184" i="9"/>
  <c r="U184" i="9" s="1"/>
  <c r="H184" i="9"/>
  <c r="G184" i="9"/>
  <c r="F184" i="9"/>
  <c r="T184" i="9" s="1"/>
  <c r="E184" i="9"/>
  <c r="D184" i="9"/>
  <c r="C184" i="9"/>
  <c r="P183" i="9"/>
  <c r="O183" i="9"/>
  <c r="N183" i="9"/>
  <c r="M183" i="9"/>
  <c r="L183" i="9"/>
  <c r="V183" i="9" s="1"/>
  <c r="K183" i="9"/>
  <c r="J183" i="9"/>
  <c r="I183" i="9"/>
  <c r="X183" i="9" s="1"/>
  <c r="H183" i="9"/>
  <c r="G183" i="9"/>
  <c r="F183" i="9"/>
  <c r="E183" i="9"/>
  <c r="D183" i="9"/>
  <c r="C183" i="9"/>
  <c r="P182" i="9"/>
  <c r="O182" i="9"/>
  <c r="N182" i="9"/>
  <c r="M182" i="9"/>
  <c r="L182" i="9"/>
  <c r="V182" i="9" s="1"/>
  <c r="K182" i="9"/>
  <c r="J182" i="9"/>
  <c r="I182" i="9"/>
  <c r="X182" i="9" s="1"/>
  <c r="H182" i="9"/>
  <c r="G182" i="9"/>
  <c r="F182" i="9"/>
  <c r="T182" i="9" s="1"/>
  <c r="E182" i="9"/>
  <c r="D182" i="9"/>
  <c r="C182" i="9"/>
  <c r="P181" i="9"/>
  <c r="O181" i="9"/>
  <c r="N181" i="9"/>
  <c r="M181" i="9"/>
  <c r="L181" i="9"/>
  <c r="V181" i="9" s="1"/>
  <c r="K181" i="9"/>
  <c r="J181" i="9"/>
  <c r="I181" i="9"/>
  <c r="U181" i="9" s="1"/>
  <c r="H181" i="9"/>
  <c r="G181" i="9"/>
  <c r="F181" i="9"/>
  <c r="T181" i="9" s="1"/>
  <c r="E181" i="9"/>
  <c r="D181" i="9"/>
  <c r="C181" i="9"/>
  <c r="P180" i="9"/>
  <c r="O180" i="9"/>
  <c r="N180" i="9"/>
  <c r="M180" i="9"/>
  <c r="L180" i="9"/>
  <c r="V180" i="9" s="1"/>
  <c r="K180" i="9"/>
  <c r="J180" i="9"/>
  <c r="I180" i="9"/>
  <c r="X180" i="9" s="1"/>
  <c r="H180" i="9"/>
  <c r="G180" i="9"/>
  <c r="F180" i="9"/>
  <c r="E180" i="9"/>
  <c r="D180" i="9"/>
  <c r="C180" i="9"/>
  <c r="P179" i="9"/>
  <c r="O179" i="9"/>
  <c r="N179" i="9"/>
  <c r="M179" i="9"/>
  <c r="L179" i="9"/>
  <c r="V179" i="9" s="1"/>
  <c r="K179" i="9"/>
  <c r="J179" i="9"/>
  <c r="I179" i="9"/>
  <c r="U179" i="9" s="1"/>
  <c r="H179" i="9"/>
  <c r="G179" i="9"/>
  <c r="F179" i="9"/>
  <c r="E179" i="9"/>
  <c r="D179" i="9"/>
  <c r="C179" i="9"/>
  <c r="P178" i="9"/>
  <c r="O178" i="9"/>
  <c r="N178" i="9"/>
  <c r="M178" i="9"/>
  <c r="L178" i="9"/>
  <c r="V178" i="9" s="1"/>
  <c r="K178" i="9"/>
  <c r="J178" i="9"/>
  <c r="I178" i="9"/>
  <c r="X178" i="9" s="1"/>
  <c r="H178" i="9"/>
  <c r="G178" i="9"/>
  <c r="F178" i="9"/>
  <c r="T178" i="9" s="1"/>
  <c r="E178" i="9"/>
  <c r="D178" i="9"/>
  <c r="C178" i="9"/>
  <c r="P177" i="9"/>
  <c r="O177" i="9"/>
  <c r="N177" i="9"/>
  <c r="M177" i="9"/>
  <c r="L177" i="9"/>
  <c r="V177" i="9" s="1"/>
  <c r="K177" i="9"/>
  <c r="J177" i="9"/>
  <c r="I177" i="9"/>
  <c r="U177" i="9" s="1"/>
  <c r="H177" i="9"/>
  <c r="G177" i="9"/>
  <c r="F177" i="9"/>
  <c r="E177" i="9"/>
  <c r="D177" i="9"/>
  <c r="C177" i="9"/>
  <c r="P176" i="9"/>
  <c r="O176" i="9"/>
  <c r="N176" i="9"/>
  <c r="M176" i="9"/>
  <c r="L176" i="9"/>
  <c r="V176" i="9" s="1"/>
  <c r="K176" i="9"/>
  <c r="J176" i="9"/>
  <c r="I176" i="9"/>
  <c r="U176" i="9" s="1"/>
  <c r="H176" i="9"/>
  <c r="G176" i="9"/>
  <c r="F176" i="9"/>
  <c r="T176" i="9" s="1"/>
  <c r="E176" i="9"/>
  <c r="D176" i="9"/>
  <c r="C176" i="9"/>
  <c r="P175" i="9"/>
  <c r="O175" i="9"/>
  <c r="N175" i="9"/>
  <c r="M175" i="9"/>
  <c r="L175" i="9"/>
  <c r="V175" i="9" s="1"/>
  <c r="K175" i="9"/>
  <c r="J175" i="9"/>
  <c r="I175" i="9"/>
  <c r="U175" i="9" s="1"/>
  <c r="H175" i="9"/>
  <c r="G175" i="9"/>
  <c r="F175" i="9"/>
  <c r="T175" i="9" s="1"/>
  <c r="E175" i="9"/>
  <c r="D175" i="9"/>
  <c r="C175" i="9"/>
  <c r="P174" i="9"/>
  <c r="O174" i="9"/>
  <c r="N174" i="9"/>
  <c r="M174" i="9"/>
  <c r="L174" i="9"/>
  <c r="V174" i="9" s="1"/>
  <c r="K174" i="9"/>
  <c r="J174" i="9"/>
  <c r="I174" i="9"/>
  <c r="H174" i="9"/>
  <c r="G174" i="9"/>
  <c r="F174" i="9"/>
  <c r="T174" i="9" s="1"/>
  <c r="E174" i="9"/>
  <c r="D174" i="9"/>
  <c r="C174" i="9"/>
  <c r="P173" i="9"/>
  <c r="O173" i="9"/>
  <c r="N173" i="9"/>
  <c r="M173" i="9"/>
  <c r="L173" i="9"/>
  <c r="V173" i="9" s="1"/>
  <c r="K173" i="9"/>
  <c r="J173" i="9"/>
  <c r="I173" i="9"/>
  <c r="X173" i="9" s="1"/>
  <c r="H173" i="9"/>
  <c r="G173" i="9"/>
  <c r="F173" i="9"/>
  <c r="E173" i="9"/>
  <c r="D173" i="9"/>
  <c r="C173" i="9"/>
  <c r="P172" i="9"/>
  <c r="O172" i="9"/>
  <c r="N172" i="9"/>
  <c r="M172" i="9"/>
  <c r="L172" i="9"/>
  <c r="V172" i="9" s="1"/>
  <c r="K172" i="9"/>
  <c r="J172" i="9"/>
  <c r="I172" i="9"/>
  <c r="U172" i="9" s="1"/>
  <c r="H172" i="9"/>
  <c r="G172" i="9"/>
  <c r="F172" i="9"/>
  <c r="E172" i="9"/>
  <c r="D172" i="9"/>
  <c r="C172" i="9"/>
  <c r="P171" i="9"/>
  <c r="O171" i="9"/>
  <c r="N171" i="9"/>
  <c r="M171" i="9"/>
  <c r="L171" i="9"/>
  <c r="V171" i="9" s="1"/>
  <c r="K171" i="9"/>
  <c r="J171" i="9"/>
  <c r="I171" i="9"/>
  <c r="X171" i="9" s="1"/>
  <c r="H171" i="9"/>
  <c r="G171" i="9"/>
  <c r="F171" i="9"/>
  <c r="E171" i="9"/>
  <c r="D171" i="9"/>
  <c r="C171" i="9"/>
  <c r="P170" i="9"/>
  <c r="O170" i="9"/>
  <c r="N170" i="9"/>
  <c r="M170" i="9"/>
  <c r="L170" i="9"/>
  <c r="V170" i="9" s="1"/>
  <c r="K170" i="9"/>
  <c r="J170" i="9"/>
  <c r="I170" i="9"/>
  <c r="X170" i="9" s="1"/>
  <c r="H170" i="9"/>
  <c r="G170" i="9"/>
  <c r="F170" i="9"/>
  <c r="T170" i="9" s="1"/>
  <c r="E170" i="9"/>
  <c r="D170" i="9"/>
  <c r="C170" i="9"/>
  <c r="P169" i="9"/>
  <c r="O169" i="9"/>
  <c r="N169" i="9"/>
  <c r="M169" i="9"/>
  <c r="L169" i="9"/>
  <c r="V169" i="9" s="1"/>
  <c r="K169" i="9"/>
  <c r="J169" i="9"/>
  <c r="I169" i="9"/>
  <c r="U169" i="9" s="1"/>
  <c r="H169" i="9"/>
  <c r="G169" i="9"/>
  <c r="F169" i="9"/>
  <c r="E169" i="9"/>
  <c r="D169" i="9"/>
  <c r="C169" i="9"/>
  <c r="P168" i="9"/>
  <c r="O168" i="9"/>
  <c r="N168" i="9"/>
  <c r="M168" i="9"/>
  <c r="L168" i="9"/>
  <c r="V168" i="9" s="1"/>
  <c r="K168" i="9"/>
  <c r="J168" i="9"/>
  <c r="I168" i="9"/>
  <c r="U168" i="9" s="1"/>
  <c r="H168" i="9"/>
  <c r="G168" i="9"/>
  <c r="F168" i="9"/>
  <c r="T168" i="9" s="1"/>
  <c r="E168" i="9"/>
  <c r="D168" i="9"/>
  <c r="C168" i="9"/>
  <c r="P167" i="9"/>
  <c r="O167" i="9"/>
  <c r="N167" i="9"/>
  <c r="M167" i="9"/>
  <c r="L167" i="9"/>
  <c r="V167" i="9" s="1"/>
  <c r="K167" i="9"/>
  <c r="J167" i="9"/>
  <c r="I167" i="9"/>
  <c r="U167" i="9" s="1"/>
  <c r="H167" i="9"/>
  <c r="G167" i="9"/>
  <c r="F167" i="9"/>
  <c r="T167" i="9" s="1"/>
  <c r="E167" i="9"/>
  <c r="D167" i="9"/>
  <c r="C167" i="9"/>
  <c r="P166" i="9"/>
  <c r="O166" i="9"/>
  <c r="N166" i="9"/>
  <c r="M166" i="9"/>
  <c r="L166" i="9"/>
  <c r="V166" i="9" s="1"/>
  <c r="K166" i="9"/>
  <c r="J166" i="9"/>
  <c r="I166" i="9"/>
  <c r="H166" i="9"/>
  <c r="G166" i="9"/>
  <c r="F166" i="9"/>
  <c r="T166" i="9" s="1"/>
  <c r="E166" i="9"/>
  <c r="D166" i="9"/>
  <c r="C166" i="9"/>
  <c r="P165" i="9"/>
  <c r="O165" i="9"/>
  <c r="N165" i="9"/>
  <c r="M165" i="9"/>
  <c r="L165" i="9"/>
  <c r="V165" i="9" s="1"/>
  <c r="K165" i="9"/>
  <c r="J165" i="9"/>
  <c r="I165" i="9"/>
  <c r="X165" i="9" s="1"/>
  <c r="H165" i="9"/>
  <c r="G165" i="9"/>
  <c r="F165" i="9"/>
  <c r="E165" i="9"/>
  <c r="D165" i="9"/>
  <c r="C165" i="9"/>
  <c r="P164" i="9"/>
  <c r="O164" i="9"/>
  <c r="N164" i="9"/>
  <c r="M164" i="9"/>
  <c r="L164" i="9"/>
  <c r="V164" i="9" s="1"/>
  <c r="K164" i="9"/>
  <c r="J164" i="9"/>
  <c r="I164" i="9"/>
  <c r="U164" i="9" s="1"/>
  <c r="H164" i="9"/>
  <c r="G164" i="9"/>
  <c r="F164" i="9"/>
  <c r="E164" i="9"/>
  <c r="D164" i="9"/>
  <c r="C164" i="9"/>
  <c r="P163" i="9"/>
  <c r="O163" i="9"/>
  <c r="N163" i="9"/>
  <c r="M163" i="9"/>
  <c r="L163" i="9"/>
  <c r="V163" i="9" s="1"/>
  <c r="K163" i="9"/>
  <c r="J163" i="9"/>
  <c r="I163" i="9"/>
  <c r="X163" i="9" s="1"/>
  <c r="H163" i="9"/>
  <c r="G163" i="9"/>
  <c r="F163" i="9"/>
  <c r="E163" i="9"/>
  <c r="D163" i="9"/>
  <c r="C163" i="9"/>
  <c r="P162" i="9"/>
  <c r="O162" i="9"/>
  <c r="N162" i="9"/>
  <c r="M162" i="9"/>
  <c r="L162" i="9"/>
  <c r="V162" i="9" s="1"/>
  <c r="K162" i="9"/>
  <c r="J162" i="9"/>
  <c r="I162" i="9"/>
  <c r="X162" i="9" s="1"/>
  <c r="H162" i="9"/>
  <c r="G162" i="9"/>
  <c r="F162" i="9"/>
  <c r="T162" i="9" s="1"/>
  <c r="E162" i="9"/>
  <c r="D162" i="9"/>
  <c r="C162" i="9"/>
  <c r="P161" i="9"/>
  <c r="O161" i="9"/>
  <c r="N161" i="9"/>
  <c r="M161" i="9"/>
  <c r="L161" i="9"/>
  <c r="V161" i="9" s="1"/>
  <c r="K161" i="9"/>
  <c r="J161" i="9"/>
  <c r="I161" i="9"/>
  <c r="U161" i="9" s="1"/>
  <c r="H161" i="9"/>
  <c r="G161" i="9"/>
  <c r="F161" i="9"/>
  <c r="E161" i="9"/>
  <c r="D161" i="9"/>
  <c r="C161" i="9"/>
  <c r="P160" i="9"/>
  <c r="O160" i="9"/>
  <c r="N160" i="9"/>
  <c r="M160" i="9"/>
  <c r="L160" i="9"/>
  <c r="V160" i="9" s="1"/>
  <c r="K160" i="9"/>
  <c r="J160" i="9"/>
  <c r="I160" i="9"/>
  <c r="U160" i="9" s="1"/>
  <c r="H160" i="9"/>
  <c r="G160" i="9"/>
  <c r="F160" i="9"/>
  <c r="T160" i="9" s="1"/>
  <c r="E160" i="9"/>
  <c r="D160" i="9"/>
  <c r="C160" i="9"/>
  <c r="P159" i="9"/>
  <c r="O159" i="9"/>
  <c r="N159" i="9"/>
  <c r="M159" i="9"/>
  <c r="L159" i="9"/>
  <c r="V159" i="9" s="1"/>
  <c r="K159" i="9"/>
  <c r="J159" i="9"/>
  <c r="I159" i="9"/>
  <c r="U159" i="9" s="1"/>
  <c r="H159" i="9"/>
  <c r="G159" i="9"/>
  <c r="F159" i="9"/>
  <c r="T159" i="9" s="1"/>
  <c r="E159" i="9"/>
  <c r="D159" i="9"/>
  <c r="C159" i="9"/>
  <c r="P158" i="9"/>
  <c r="O158" i="9"/>
  <c r="N158" i="9"/>
  <c r="M158" i="9"/>
  <c r="L158" i="9"/>
  <c r="V158" i="9" s="1"/>
  <c r="K158" i="9"/>
  <c r="J158" i="9"/>
  <c r="I158" i="9"/>
  <c r="H158" i="9"/>
  <c r="G158" i="9"/>
  <c r="F158" i="9"/>
  <c r="T158" i="9" s="1"/>
  <c r="E158" i="9"/>
  <c r="D158" i="9"/>
  <c r="C158" i="9"/>
  <c r="P157" i="9"/>
  <c r="O157" i="9"/>
  <c r="N157" i="9"/>
  <c r="M157" i="9"/>
  <c r="L157" i="9"/>
  <c r="V157" i="9" s="1"/>
  <c r="K157" i="9"/>
  <c r="J157" i="9"/>
  <c r="I157" i="9"/>
  <c r="X157" i="9" s="1"/>
  <c r="H157" i="9"/>
  <c r="G157" i="9"/>
  <c r="F157" i="9"/>
  <c r="E157" i="9"/>
  <c r="D157" i="9"/>
  <c r="C157" i="9"/>
  <c r="P156" i="9"/>
  <c r="O156" i="9"/>
  <c r="N156" i="9"/>
  <c r="M156" i="9"/>
  <c r="L156" i="9"/>
  <c r="V156" i="9" s="1"/>
  <c r="K156" i="9"/>
  <c r="J156" i="9"/>
  <c r="I156" i="9"/>
  <c r="U156" i="9" s="1"/>
  <c r="H156" i="9"/>
  <c r="G156" i="9"/>
  <c r="F156" i="9"/>
  <c r="E156" i="9"/>
  <c r="D156" i="9"/>
  <c r="C156" i="9"/>
  <c r="P155" i="9"/>
  <c r="O155" i="9"/>
  <c r="N155" i="9"/>
  <c r="M155" i="9"/>
  <c r="L155" i="9"/>
  <c r="V155" i="9" s="1"/>
  <c r="K155" i="9"/>
  <c r="J155" i="9"/>
  <c r="I155" i="9"/>
  <c r="U155" i="9" s="1"/>
  <c r="H155" i="9"/>
  <c r="G155" i="9"/>
  <c r="F155" i="9"/>
  <c r="E155" i="9"/>
  <c r="D155" i="9"/>
  <c r="C155" i="9"/>
  <c r="P154" i="9"/>
  <c r="O154" i="9"/>
  <c r="N154" i="9"/>
  <c r="M154" i="9"/>
  <c r="L154" i="9"/>
  <c r="V154" i="9" s="1"/>
  <c r="K154" i="9"/>
  <c r="J154" i="9"/>
  <c r="I154" i="9"/>
  <c r="X154" i="9" s="1"/>
  <c r="H154" i="9"/>
  <c r="G154" i="9"/>
  <c r="F154" i="9"/>
  <c r="T154" i="9" s="1"/>
  <c r="E154" i="9"/>
  <c r="D154" i="9"/>
  <c r="C154" i="9"/>
  <c r="P153" i="9"/>
  <c r="O153" i="9"/>
  <c r="N153" i="9"/>
  <c r="M153" i="9"/>
  <c r="L153" i="9"/>
  <c r="V153" i="9" s="1"/>
  <c r="K153" i="9"/>
  <c r="J153" i="9"/>
  <c r="I153" i="9"/>
  <c r="U153" i="9" s="1"/>
  <c r="H153" i="9"/>
  <c r="G153" i="9"/>
  <c r="F153" i="9"/>
  <c r="E153" i="9"/>
  <c r="D153" i="9"/>
  <c r="C153" i="9"/>
  <c r="P152" i="9"/>
  <c r="O152" i="9"/>
  <c r="N152" i="9"/>
  <c r="M152" i="9"/>
  <c r="L152" i="9"/>
  <c r="V152" i="9" s="1"/>
  <c r="K152" i="9"/>
  <c r="J152" i="9"/>
  <c r="I152" i="9"/>
  <c r="U152" i="9" s="1"/>
  <c r="H152" i="9"/>
  <c r="G152" i="9"/>
  <c r="F152" i="9"/>
  <c r="T152" i="9" s="1"/>
  <c r="E152" i="9"/>
  <c r="D152" i="9"/>
  <c r="C152" i="9"/>
  <c r="P151" i="9"/>
  <c r="O151" i="9"/>
  <c r="N151" i="9"/>
  <c r="M151" i="9"/>
  <c r="L151" i="9"/>
  <c r="V151" i="9" s="1"/>
  <c r="K151" i="9"/>
  <c r="J151" i="9"/>
  <c r="I151" i="9"/>
  <c r="X151" i="9" s="1"/>
  <c r="H151" i="9"/>
  <c r="G151" i="9"/>
  <c r="F151" i="9"/>
  <c r="E151" i="9"/>
  <c r="D151" i="9"/>
  <c r="C151" i="9"/>
  <c r="P150" i="9"/>
  <c r="O150" i="9"/>
  <c r="N150" i="9"/>
  <c r="M150" i="9"/>
  <c r="L150" i="9"/>
  <c r="V150" i="9" s="1"/>
  <c r="K150" i="9"/>
  <c r="J150" i="9"/>
  <c r="I150" i="9"/>
  <c r="X150" i="9" s="1"/>
  <c r="H150" i="9"/>
  <c r="G150" i="9"/>
  <c r="F150" i="9"/>
  <c r="T150" i="9" s="1"/>
  <c r="E150" i="9"/>
  <c r="D150" i="9"/>
  <c r="C150" i="9"/>
  <c r="P149" i="9"/>
  <c r="O149" i="9"/>
  <c r="N149" i="9"/>
  <c r="M149" i="9"/>
  <c r="L149" i="9"/>
  <c r="V149" i="9" s="1"/>
  <c r="K149" i="9"/>
  <c r="J149" i="9"/>
  <c r="I149" i="9"/>
  <c r="U149" i="9" s="1"/>
  <c r="H149" i="9"/>
  <c r="G149" i="9"/>
  <c r="F149" i="9"/>
  <c r="E149" i="9"/>
  <c r="D149" i="9"/>
  <c r="C149" i="9"/>
  <c r="P148" i="9"/>
  <c r="O148" i="9"/>
  <c r="N148" i="9"/>
  <c r="M148" i="9"/>
  <c r="L148" i="9"/>
  <c r="V148" i="9" s="1"/>
  <c r="K148" i="9"/>
  <c r="J148" i="9"/>
  <c r="I148" i="9"/>
  <c r="X148" i="9" s="1"/>
  <c r="H148" i="9"/>
  <c r="G148" i="9"/>
  <c r="F148" i="9"/>
  <c r="E148" i="9"/>
  <c r="D148" i="9"/>
  <c r="C148" i="9"/>
  <c r="P147" i="9"/>
  <c r="O147" i="9"/>
  <c r="N147" i="9"/>
  <c r="M147" i="9"/>
  <c r="L147" i="9"/>
  <c r="V147" i="9" s="1"/>
  <c r="K147" i="9"/>
  <c r="J147" i="9"/>
  <c r="I147" i="9"/>
  <c r="U147" i="9" s="1"/>
  <c r="H147" i="9"/>
  <c r="G147" i="9"/>
  <c r="F147" i="9"/>
  <c r="E147" i="9"/>
  <c r="D147" i="9"/>
  <c r="C147" i="9"/>
  <c r="P146" i="9"/>
  <c r="O146" i="9"/>
  <c r="N146" i="9"/>
  <c r="M146" i="9"/>
  <c r="L146" i="9"/>
  <c r="V146" i="9" s="1"/>
  <c r="K146" i="9"/>
  <c r="J146" i="9"/>
  <c r="I146" i="9"/>
  <c r="X146" i="9" s="1"/>
  <c r="H146" i="9"/>
  <c r="G146" i="9"/>
  <c r="F146" i="9"/>
  <c r="T146" i="9" s="1"/>
  <c r="E146" i="9"/>
  <c r="D146" i="9"/>
  <c r="C146" i="9"/>
  <c r="P145" i="9"/>
  <c r="O145" i="9"/>
  <c r="N145" i="9"/>
  <c r="M145" i="9"/>
  <c r="L145" i="9"/>
  <c r="V145" i="9" s="1"/>
  <c r="K145" i="9"/>
  <c r="J145" i="9"/>
  <c r="I145" i="9"/>
  <c r="U145" i="9" s="1"/>
  <c r="H145" i="9"/>
  <c r="G145" i="9"/>
  <c r="F145" i="9"/>
  <c r="E145" i="9"/>
  <c r="D145" i="9"/>
  <c r="C145" i="9"/>
  <c r="P144" i="9"/>
  <c r="O144" i="9"/>
  <c r="N144" i="9"/>
  <c r="M144" i="9"/>
  <c r="L144" i="9"/>
  <c r="V144" i="9" s="1"/>
  <c r="K144" i="9"/>
  <c r="J144" i="9"/>
  <c r="I144" i="9"/>
  <c r="U144" i="9" s="1"/>
  <c r="H144" i="9"/>
  <c r="G144" i="9"/>
  <c r="F144" i="9"/>
  <c r="T144" i="9" s="1"/>
  <c r="E144" i="9"/>
  <c r="D144" i="9"/>
  <c r="C144" i="9"/>
  <c r="P143" i="9"/>
  <c r="O143" i="9"/>
  <c r="N143" i="9"/>
  <c r="M143" i="9"/>
  <c r="L143" i="9"/>
  <c r="V143" i="9" s="1"/>
  <c r="K143" i="9"/>
  <c r="J143" i="9"/>
  <c r="I143" i="9"/>
  <c r="U143" i="9" s="1"/>
  <c r="H143" i="9"/>
  <c r="G143" i="9"/>
  <c r="F143" i="9"/>
  <c r="E143" i="9"/>
  <c r="D143" i="9"/>
  <c r="C143" i="9"/>
  <c r="P142" i="9"/>
  <c r="O142" i="9"/>
  <c r="N142" i="9"/>
  <c r="M142" i="9"/>
  <c r="L142" i="9"/>
  <c r="V142" i="9" s="1"/>
  <c r="K142" i="9"/>
  <c r="J142" i="9"/>
  <c r="I142" i="9"/>
  <c r="X142" i="9" s="1"/>
  <c r="H142" i="9"/>
  <c r="G142" i="9"/>
  <c r="F142" i="9"/>
  <c r="T142" i="9" s="1"/>
  <c r="E142" i="9"/>
  <c r="D142" i="9"/>
  <c r="C142" i="9"/>
  <c r="P141" i="9"/>
  <c r="O141" i="9"/>
  <c r="N141" i="9"/>
  <c r="M141" i="9"/>
  <c r="L141" i="9"/>
  <c r="V141" i="9" s="1"/>
  <c r="K141" i="9"/>
  <c r="J141" i="9"/>
  <c r="I141" i="9"/>
  <c r="U141" i="9" s="1"/>
  <c r="H141" i="9"/>
  <c r="G141" i="9"/>
  <c r="F141" i="9"/>
  <c r="E141" i="9"/>
  <c r="D141" i="9"/>
  <c r="C141" i="9"/>
  <c r="P140" i="9"/>
  <c r="O140" i="9"/>
  <c r="N140" i="9"/>
  <c r="M140" i="9"/>
  <c r="L140" i="9"/>
  <c r="V140" i="9" s="1"/>
  <c r="K140" i="9"/>
  <c r="J140" i="9"/>
  <c r="I140" i="9"/>
  <c r="X140" i="9" s="1"/>
  <c r="H140" i="9"/>
  <c r="G140" i="9"/>
  <c r="F140" i="9"/>
  <c r="E140" i="9"/>
  <c r="D140" i="9"/>
  <c r="C140" i="9"/>
  <c r="P139" i="9"/>
  <c r="O139" i="9"/>
  <c r="N139" i="9"/>
  <c r="M139" i="9"/>
  <c r="L139" i="9"/>
  <c r="V139" i="9" s="1"/>
  <c r="K139" i="9"/>
  <c r="J139" i="9"/>
  <c r="I139" i="9"/>
  <c r="U139" i="9" s="1"/>
  <c r="H139" i="9"/>
  <c r="G139" i="9"/>
  <c r="F139" i="9"/>
  <c r="E139" i="9"/>
  <c r="D139" i="9"/>
  <c r="C139" i="9"/>
  <c r="P138" i="9"/>
  <c r="O138" i="9"/>
  <c r="N138" i="9"/>
  <c r="M138" i="9"/>
  <c r="L138" i="9"/>
  <c r="V138" i="9" s="1"/>
  <c r="K138" i="9"/>
  <c r="J138" i="9"/>
  <c r="I138" i="9"/>
  <c r="X138" i="9" s="1"/>
  <c r="H138" i="9"/>
  <c r="G138" i="9"/>
  <c r="F138" i="9"/>
  <c r="T138" i="9" s="1"/>
  <c r="E138" i="9"/>
  <c r="D138" i="9"/>
  <c r="C138" i="9"/>
  <c r="P137" i="9"/>
  <c r="O137" i="9"/>
  <c r="N137" i="9"/>
  <c r="M137" i="9"/>
  <c r="L137" i="9"/>
  <c r="V137" i="9" s="1"/>
  <c r="K137" i="9"/>
  <c r="J137" i="9"/>
  <c r="I137" i="9"/>
  <c r="U137" i="9" s="1"/>
  <c r="H137" i="9"/>
  <c r="G137" i="9"/>
  <c r="F137" i="9"/>
  <c r="E137" i="9"/>
  <c r="D137" i="9"/>
  <c r="C137" i="9"/>
  <c r="P136" i="9"/>
  <c r="O136" i="9"/>
  <c r="N136" i="9"/>
  <c r="M136" i="9"/>
  <c r="L136" i="9"/>
  <c r="V136" i="9" s="1"/>
  <c r="K136" i="9"/>
  <c r="J136" i="9"/>
  <c r="I136" i="9"/>
  <c r="U136" i="9" s="1"/>
  <c r="H136" i="9"/>
  <c r="G136" i="9"/>
  <c r="F136" i="9"/>
  <c r="T136" i="9" s="1"/>
  <c r="E136" i="9"/>
  <c r="D136" i="9"/>
  <c r="C136" i="9"/>
  <c r="P135" i="9"/>
  <c r="O135" i="9"/>
  <c r="N135" i="9"/>
  <c r="M135" i="9"/>
  <c r="L135" i="9"/>
  <c r="V135" i="9" s="1"/>
  <c r="K135" i="9"/>
  <c r="J135" i="9"/>
  <c r="I135" i="9"/>
  <c r="U135" i="9" s="1"/>
  <c r="H135" i="9"/>
  <c r="G135" i="9"/>
  <c r="F135" i="9"/>
  <c r="E135" i="9"/>
  <c r="D135" i="9"/>
  <c r="C135" i="9"/>
  <c r="P134" i="9"/>
  <c r="O134" i="9"/>
  <c r="N134" i="9"/>
  <c r="M134" i="9"/>
  <c r="L134" i="9"/>
  <c r="V134" i="9" s="1"/>
  <c r="K134" i="9"/>
  <c r="J134" i="9"/>
  <c r="I134" i="9"/>
  <c r="X134" i="9" s="1"/>
  <c r="H134" i="9"/>
  <c r="G134" i="9"/>
  <c r="F134" i="9"/>
  <c r="T134" i="9" s="1"/>
  <c r="E134" i="9"/>
  <c r="D134" i="9"/>
  <c r="C134" i="9"/>
  <c r="P133" i="9"/>
  <c r="O133" i="9"/>
  <c r="N133" i="9"/>
  <c r="M133" i="9"/>
  <c r="L133" i="9"/>
  <c r="V133" i="9" s="1"/>
  <c r="K133" i="9"/>
  <c r="J133" i="9"/>
  <c r="I133" i="9"/>
  <c r="U133" i="9" s="1"/>
  <c r="H133" i="9"/>
  <c r="G133" i="9"/>
  <c r="F133" i="9"/>
  <c r="E133" i="9"/>
  <c r="D133" i="9"/>
  <c r="C133" i="9"/>
  <c r="P132" i="9"/>
  <c r="O132" i="9"/>
  <c r="N132" i="9"/>
  <c r="M132" i="9"/>
  <c r="L132" i="9"/>
  <c r="V132" i="9" s="1"/>
  <c r="K132" i="9"/>
  <c r="J132" i="9"/>
  <c r="I132" i="9"/>
  <c r="X132" i="9" s="1"/>
  <c r="H132" i="9"/>
  <c r="G132" i="9"/>
  <c r="F132" i="9"/>
  <c r="E132" i="9"/>
  <c r="D132" i="9"/>
  <c r="C132" i="9"/>
  <c r="P131" i="9"/>
  <c r="O131" i="9"/>
  <c r="N131" i="9"/>
  <c r="M131" i="9"/>
  <c r="L131" i="9"/>
  <c r="V131" i="9" s="1"/>
  <c r="K131" i="9"/>
  <c r="J131" i="9"/>
  <c r="I131" i="9"/>
  <c r="U131" i="9" s="1"/>
  <c r="H131" i="9"/>
  <c r="G131" i="9"/>
  <c r="F131" i="9"/>
  <c r="E131" i="9"/>
  <c r="D131" i="9"/>
  <c r="C131" i="9"/>
  <c r="P130" i="9"/>
  <c r="O130" i="9"/>
  <c r="N130" i="9"/>
  <c r="M130" i="9"/>
  <c r="L130" i="9"/>
  <c r="V130" i="9" s="1"/>
  <c r="K130" i="9"/>
  <c r="J130" i="9"/>
  <c r="I130" i="9"/>
  <c r="X130" i="9" s="1"/>
  <c r="H130" i="9"/>
  <c r="G130" i="9"/>
  <c r="F130" i="9"/>
  <c r="T130" i="9" s="1"/>
  <c r="E130" i="9"/>
  <c r="D130" i="9"/>
  <c r="C130" i="9"/>
  <c r="P129" i="9"/>
  <c r="O129" i="9"/>
  <c r="N129" i="9"/>
  <c r="M129" i="9"/>
  <c r="L129" i="9"/>
  <c r="V129" i="9" s="1"/>
  <c r="K129" i="9"/>
  <c r="J129" i="9"/>
  <c r="I129" i="9"/>
  <c r="U129" i="9" s="1"/>
  <c r="H129" i="9"/>
  <c r="G129" i="9"/>
  <c r="F129" i="9"/>
  <c r="E129" i="9"/>
  <c r="D129" i="9"/>
  <c r="C129" i="9"/>
  <c r="P128" i="9"/>
  <c r="O128" i="9"/>
  <c r="N128" i="9"/>
  <c r="M128" i="9"/>
  <c r="L128" i="9"/>
  <c r="V128" i="9" s="1"/>
  <c r="K128" i="9"/>
  <c r="J128" i="9"/>
  <c r="I128" i="9"/>
  <c r="U128" i="9" s="1"/>
  <c r="H128" i="9"/>
  <c r="G128" i="9"/>
  <c r="F128" i="9"/>
  <c r="T128" i="9" s="1"/>
  <c r="E128" i="9"/>
  <c r="D128" i="9"/>
  <c r="C128" i="9"/>
  <c r="P127" i="9"/>
  <c r="O127" i="9"/>
  <c r="N127" i="9"/>
  <c r="M127" i="9"/>
  <c r="L127" i="9"/>
  <c r="V127" i="9" s="1"/>
  <c r="K127" i="9"/>
  <c r="J127" i="9"/>
  <c r="I127" i="9"/>
  <c r="U127" i="9" s="1"/>
  <c r="H127" i="9"/>
  <c r="G127" i="9"/>
  <c r="F127" i="9"/>
  <c r="E127" i="9"/>
  <c r="D127" i="9"/>
  <c r="C127" i="9"/>
  <c r="P126" i="9"/>
  <c r="O126" i="9"/>
  <c r="N126" i="9"/>
  <c r="M126" i="9"/>
  <c r="L126" i="9"/>
  <c r="V126" i="9" s="1"/>
  <c r="K126" i="9"/>
  <c r="J126" i="9"/>
  <c r="I126" i="9"/>
  <c r="X126" i="9" s="1"/>
  <c r="H126" i="9"/>
  <c r="G126" i="9"/>
  <c r="F126" i="9"/>
  <c r="T126" i="9" s="1"/>
  <c r="E126" i="9"/>
  <c r="D126" i="9"/>
  <c r="C126" i="9"/>
  <c r="P125" i="9"/>
  <c r="O125" i="9"/>
  <c r="N125" i="9"/>
  <c r="M125" i="9"/>
  <c r="L125" i="9"/>
  <c r="V125" i="9" s="1"/>
  <c r="K125" i="9"/>
  <c r="J125" i="9"/>
  <c r="I125" i="9"/>
  <c r="U125" i="9" s="1"/>
  <c r="H125" i="9"/>
  <c r="G125" i="9"/>
  <c r="F125" i="9"/>
  <c r="E125" i="9"/>
  <c r="D125" i="9"/>
  <c r="C125" i="9"/>
  <c r="P124" i="9"/>
  <c r="O124" i="9"/>
  <c r="N124" i="9"/>
  <c r="M124" i="9"/>
  <c r="L124" i="9"/>
  <c r="V124" i="9" s="1"/>
  <c r="K124" i="9"/>
  <c r="J124" i="9"/>
  <c r="I124" i="9"/>
  <c r="X124" i="9" s="1"/>
  <c r="H124" i="9"/>
  <c r="G124" i="9"/>
  <c r="F124" i="9"/>
  <c r="E124" i="9"/>
  <c r="D124" i="9"/>
  <c r="C124" i="9"/>
  <c r="P123" i="9"/>
  <c r="O123" i="9"/>
  <c r="N123" i="9"/>
  <c r="M123" i="9"/>
  <c r="L123" i="9"/>
  <c r="V123" i="9" s="1"/>
  <c r="K123" i="9"/>
  <c r="J123" i="9"/>
  <c r="I123" i="9"/>
  <c r="X123" i="9" s="1"/>
  <c r="H123" i="9"/>
  <c r="G123" i="9"/>
  <c r="F123" i="9"/>
  <c r="E123" i="9"/>
  <c r="D123" i="9"/>
  <c r="C123" i="9"/>
  <c r="P122" i="9"/>
  <c r="O122" i="9"/>
  <c r="N122" i="9"/>
  <c r="M122" i="9"/>
  <c r="L122" i="9"/>
  <c r="V122" i="9" s="1"/>
  <c r="K122" i="9"/>
  <c r="J122" i="9"/>
  <c r="I122" i="9"/>
  <c r="X122" i="9" s="1"/>
  <c r="H122" i="9"/>
  <c r="G122" i="9"/>
  <c r="F122" i="9"/>
  <c r="T122" i="9" s="1"/>
  <c r="E122" i="9"/>
  <c r="D122" i="9"/>
  <c r="C122" i="9"/>
  <c r="P121" i="9"/>
  <c r="O121" i="9"/>
  <c r="N121" i="9"/>
  <c r="M121" i="9"/>
  <c r="L121" i="9"/>
  <c r="V121" i="9" s="1"/>
  <c r="K121" i="9"/>
  <c r="J121" i="9"/>
  <c r="I121" i="9"/>
  <c r="U121" i="9" s="1"/>
  <c r="H121" i="9"/>
  <c r="G121" i="9"/>
  <c r="F121" i="9"/>
  <c r="E121" i="9"/>
  <c r="D121" i="9"/>
  <c r="C121" i="9"/>
  <c r="P120" i="9"/>
  <c r="O120" i="9"/>
  <c r="N120" i="9"/>
  <c r="M120" i="9"/>
  <c r="L120" i="9"/>
  <c r="V120" i="9" s="1"/>
  <c r="K120" i="9"/>
  <c r="J120" i="9"/>
  <c r="I120" i="9"/>
  <c r="U120" i="9" s="1"/>
  <c r="H120" i="9"/>
  <c r="G120" i="9"/>
  <c r="F120" i="9"/>
  <c r="T120" i="9" s="1"/>
  <c r="E120" i="9"/>
  <c r="D120" i="9"/>
  <c r="C120" i="9"/>
  <c r="P119" i="9"/>
  <c r="O119" i="9"/>
  <c r="N119" i="9"/>
  <c r="M119" i="9"/>
  <c r="L119" i="9"/>
  <c r="V119" i="9" s="1"/>
  <c r="K119" i="9"/>
  <c r="J119" i="9"/>
  <c r="I119" i="9"/>
  <c r="U119" i="9" s="1"/>
  <c r="H119" i="9"/>
  <c r="G119" i="9"/>
  <c r="F119" i="9"/>
  <c r="E119" i="9"/>
  <c r="D119" i="9"/>
  <c r="C119" i="9"/>
  <c r="P118" i="9"/>
  <c r="O118" i="9"/>
  <c r="N118" i="9"/>
  <c r="M118" i="9"/>
  <c r="L118" i="9"/>
  <c r="V118" i="9" s="1"/>
  <c r="K118" i="9"/>
  <c r="J118" i="9"/>
  <c r="I118" i="9"/>
  <c r="X118" i="9" s="1"/>
  <c r="H118" i="9"/>
  <c r="G118" i="9"/>
  <c r="F118" i="9"/>
  <c r="T118" i="9" s="1"/>
  <c r="E118" i="9"/>
  <c r="D118" i="9"/>
  <c r="C118" i="9"/>
  <c r="P117" i="9"/>
  <c r="O117" i="9"/>
  <c r="N117" i="9"/>
  <c r="M117" i="9"/>
  <c r="L117" i="9"/>
  <c r="V117" i="9" s="1"/>
  <c r="K117" i="9"/>
  <c r="J117" i="9"/>
  <c r="I117" i="9"/>
  <c r="U117" i="9" s="1"/>
  <c r="H117" i="9"/>
  <c r="G117" i="9"/>
  <c r="F117" i="9"/>
  <c r="E117" i="9"/>
  <c r="D117" i="9"/>
  <c r="C117" i="9"/>
  <c r="P116" i="9"/>
  <c r="O116" i="9"/>
  <c r="N116" i="9"/>
  <c r="M116" i="9"/>
  <c r="L116" i="9"/>
  <c r="V116" i="9" s="1"/>
  <c r="K116" i="9"/>
  <c r="J116" i="9"/>
  <c r="I116" i="9"/>
  <c r="X116" i="9" s="1"/>
  <c r="H116" i="9"/>
  <c r="G116" i="9"/>
  <c r="F116" i="9"/>
  <c r="E116" i="9"/>
  <c r="D116" i="9"/>
  <c r="C116" i="9"/>
  <c r="P115" i="9"/>
  <c r="O115" i="9"/>
  <c r="N115" i="9"/>
  <c r="M115" i="9"/>
  <c r="L115" i="9"/>
  <c r="V115" i="9" s="1"/>
  <c r="K115" i="9"/>
  <c r="J115" i="9"/>
  <c r="I115" i="9"/>
  <c r="X115" i="9" s="1"/>
  <c r="H115" i="9"/>
  <c r="G115" i="9"/>
  <c r="F115" i="9"/>
  <c r="E115" i="9"/>
  <c r="D115" i="9"/>
  <c r="C115" i="9"/>
  <c r="P114" i="9"/>
  <c r="O114" i="9"/>
  <c r="N114" i="9"/>
  <c r="M114" i="9"/>
  <c r="L114" i="9"/>
  <c r="V114" i="9" s="1"/>
  <c r="K114" i="9"/>
  <c r="J114" i="9"/>
  <c r="I114" i="9"/>
  <c r="X114" i="9" s="1"/>
  <c r="H114" i="9"/>
  <c r="G114" i="9"/>
  <c r="F114" i="9"/>
  <c r="T114" i="9" s="1"/>
  <c r="E114" i="9"/>
  <c r="D114" i="9"/>
  <c r="C114" i="9"/>
  <c r="P113" i="9"/>
  <c r="O113" i="9"/>
  <c r="N113" i="9"/>
  <c r="M113" i="9"/>
  <c r="L113" i="9"/>
  <c r="V113" i="9" s="1"/>
  <c r="K113" i="9"/>
  <c r="J113" i="9"/>
  <c r="I113" i="9"/>
  <c r="U113" i="9" s="1"/>
  <c r="H113" i="9"/>
  <c r="G113" i="9"/>
  <c r="F113" i="9"/>
  <c r="E113" i="9"/>
  <c r="D113" i="9"/>
  <c r="C113" i="9"/>
  <c r="P112" i="9"/>
  <c r="O112" i="9"/>
  <c r="N112" i="9"/>
  <c r="M112" i="9"/>
  <c r="L112" i="9"/>
  <c r="V112" i="9" s="1"/>
  <c r="K112" i="9"/>
  <c r="J112" i="9"/>
  <c r="I112" i="9"/>
  <c r="U112" i="9" s="1"/>
  <c r="H112" i="9"/>
  <c r="G112" i="9"/>
  <c r="F112" i="9"/>
  <c r="T112" i="9" s="1"/>
  <c r="E112" i="9"/>
  <c r="D112" i="9"/>
  <c r="C112" i="9"/>
  <c r="P111" i="9"/>
  <c r="O111" i="9"/>
  <c r="N111" i="9"/>
  <c r="M111" i="9"/>
  <c r="L111" i="9"/>
  <c r="V111" i="9" s="1"/>
  <c r="K111" i="9"/>
  <c r="J111" i="9"/>
  <c r="I111" i="9"/>
  <c r="U111" i="9" s="1"/>
  <c r="H111" i="9"/>
  <c r="G111" i="9"/>
  <c r="F111" i="9"/>
  <c r="E111" i="9"/>
  <c r="D111" i="9"/>
  <c r="C111" i="9"/>
  <c r="P110" i="9"/>
  <c r="O110" i="9"/>
  <c r="N110" i="9"/>
  <c r="M110" i="9"/>
  <c r="L110" i="9"/>
  <c r="V110" i="9" s="1"/>
  <c r="K110" i="9"/>
  <c r="J110" i="9"/>
  <c r="I110" i="9"/>
  <c r="X110" i="9" s="1"/>
  <c r="H110" i="9"/>
  <c r="G110" i="9"/>
  <c r="F110" i="9"/>
  <c r="T110" i="9" s="1"/>
  <c r="E110" i="9"/>
  <c r="D110" i="9"/>
  <c r="C110" i="9"/>
  <c r="P109" i="9"/>
  <c r="O109" i="9"/>
  <c r="N109" i="9"/>
  <c r="M109" i="9"/>
  <c r="L109" i="9"/>
  <c r="V109" i="9" s="1"/>
  <c r="K109" i="9"/>
  <c r="J109" i="9"/>
  <c r="I109" i="9"/>
  <c r="U109" i="9" s="1"/>
  <c r="H109" i="9"/>
  <c r="G109" i="9"/>
  <c r="F109" i="9"/>
  <c r="E109" i="9"/>
  <c r="D109" i="9"/>
  <c r="C109" i="9"/>
  <c r="P108" i="9"/>
  <c r="O108" i="9"/>
  <c r="N108" i="9"/>
  <c r="M108" i="9"/>
  <c r="L108" i="9"/>
  <c r="V108" i="9" s="1"/>
  <c r="K108" i="9"/>
  <c r="J108" i="9"/>
  <c r="I108" i="9"/>
  <c r="X108" i="9" s="1"/>
  <c r="H108" i="9"/>
  <c r="G108" i="9"/>
  <c r="F108" i="9"/>
  <c r="E108" i="9"/>
  <c r="D108" i="9"/>
  <c r="C108" i="9"/>
  <c r="P107" i="9"/>
  <c r="O107" i="9"/>
  <c r="N107" i="9"/>
  <c r="M107" i="9"/>
  <c r="L107" i="9"/>
  <c r="V107" i="9" s="1"/>
  <c r="K107" i="9"/>
  <c r="J107" i="9"/>
  <c r="I107" i="9"/>
  <c r="X107" i="9" s="1"/>
  <c r="H107" i="9"/>
  <c r="G107" i="9"/>
  <c r="F107" i="9"/>
  <c r="E107" i="9"/>
  <c r="D107" i="9"/>
  <c r="C107" i="9"/>
  <c r="P106" i="9"/>
  <c r="O106" i="9"/>
  <c r="N106" i="9"/>
  <c r="M106" i="9"/>
  <c r="L106" i="9"/>
  <c r="V106" i="9" s="1"/>
  <c r="K106" i="9"/>
  <c r="J106" i="9"/>
  <c r="I106" i="9"/>
  <c r="X106" i="9" s="1"/>
  <c r="H106" i="9"/>
  <c r="G106" i="9"/>
  <c r="F106" i="9"/>
  <c r="T106" i="9" s="1"/>
  <c r="E106" i="9"/>
  <c r="D106" i="9"/>
  <c r="C106" i="9"/>
  <c r="P105" i="9"/>
  <c r="O105" i="9"/>
  <c r="N105" i="9"/>
  <c r="M105" i="9"/>
  <c r="L105" i="9"/>
  <c r="V105" i="9" s="1"/>
  <c r="K105" i="9"/>
  <c r="J105" i="9"/>
  <c r="I105" i="9"/>
  <c r="U105" i="9" s="1"/>
  <c r="H105" i="9"/>
  <c r="G105" i="9"/>
  <c r="F105" i="9"/>
  <c r="E105" i="9"/>
  <c r="D105" i="9"/>
  <c r="C105" i="9"/>
  <c r="P104" i="9"/>
  <c r="O104" i="9"/>
  <c r="N104" i="9"/>
  <c r="M104" i="9"/>
  <c r="L104" i="9"/>
  <c r="V104" i="9" s="1"/>
  <c r="K104" i="9"/>
  <c r="J104" i="9"/>
  <c r="I104" i="9"/>
  <c r="U104" i="9" s="1"/>
  <c r="H104" i="9"/>
  <c r="G104" i="9"/>
  <c r="F104" i="9"/>
  <c r="T104" i="9" s="1"/>
  <c r="E104" i="9"/>
  <c r="D104" i="9"/>
  <c r="C104" i="9"/>
  <c r="P103" i="9"/>
  <c r="O103" i="9"/>
  <c r="N103" i="9"/>
  <c r="M103" i="9"/>
  <c r="L103" i="9"/>
  <c r="V103" i="9" s="1"/>
  <c r="K103" i="9"/>
  <c r="J103" i="9"/>
  <c r="I103" i="9"/>
  <c r="U103" i="9" s="1"/>
  <c r="H103" i="9"/>
  <c r="G103" i="9"/>
  <c r="F103" i="9"/>
  <c r="E103" i="9"/>
  <c r="D103" i="9"/>
  <c r="C103" i="9"/>
  <c r="P102" i="9"/>
  <c r="O102" i="9"/>
  <c r="N102" i="9"/>
  <c r="M102" i="9"/>
  <c r="L102" i="9"/>
  <c r="V102" i="9" s="1"/>
  <c r="K102" i="9"/>
  <c r="J102" i="9"/>
  <c r="I102" i="9"/>
  <c r="H102" i="9"/>
  <c r="G102" i="9"/>
  <c r="F102" i="9"/>
  <c r="T102" i="9" s="1"/>
  <c r="E102" i="9"/>
  <c r="D102" i="9"/>
  <c r="C102" i="9"/>
  <c r="P101" i="9"/>
  <c r="O101" i="9"/>
  <c r="N101" i="9"/>
  <c r="M101" i="9"/>
  <c r="L101" i="9"/>
  <c r="V101" i="9" s="1"/>
  <c r="K101" i="9"/>
  <c r="J101" i="9"/>
  <c r="I101" i="9"/>
  <c r="U101" i="9" s="1"/>
  <c r="H101" i="9"/>
  <c r="G101" i="9"/>
  <c r="F101" i="9"/>
  <c r="E101" i="9"/>
  <c r="D101" i="9"/>
  <c r="C101" i="9"/>
  <c r="P100" i="9"/>
  <c r="O100" i="9"/>
  <c r="N100" i="9"/>
  <c r="M100" i="9"/>
  <c r="L100" i="9"/>
  <c r="V100" i="9" s="1"/>
  <c r="K100" i="9"/>
  <c r="J100" i="9"/>
  <c r="I100" i="9"/>
  <c r="U100" i="9" s="1"/>
  <c r="H100" i="9"/>
  <c r="G100" i="9"/>
  <c r="F100" i="9"/>
  <c r="E100" i="9"/>
  <c r="D100" i="9"/>
  <c r="C100" i="9"/>
  <c r="P99" i="9"/>
  <c r="O99" i="9"/>
  <c r="N99" i="9"/>
  <c r="M99" i="9"/>
  <c r="L99" i="9"/>
  <c r="V99" i="9" s="1"/>
  <c r="K99" i="9"/>
  <c r="J99" i="9"/>
  <c r="I99" i="9"/>
  <c r="X99" i="9" s="1"/>
  <c r="H99" i="9"/>
  <c r="G99" i="9"/>
  <c r="F99" i="9"/>
  <c r="E99" i="9"/>
  <c r="D99" i="9"/>
  <c r="C99" i="9"/>
  <c r="P98" i="9"/>
  <c r="O98" i="9"/>
  <c r="N98" i="9"/>
  <c r="M98" i="9"/>
  <c r="L98" i="9"/>
  <c r="V98" i="9" s="1"/>
  <c r="K98" i="9"/>
  <c r="J98" i="9"/>
  <c r="I98" i="9"/>
  <c r="H98" i="9"/>
  <c r="G98" i="9"/>
  <c r="F98" i="9"/>
  <c r="T98" i="9" s="1"/>
  <c r="E98" i="9"/>
  <c r="D98" i="9"/>
  <c r="C98" i="9"/>
  <c r="P97" i="9"/>
  <c r="O97" i="9"/>
  <c r="N97" i="9"/>
  <c r="M97" i="9"/>
  <c r="L97" i="9"/>
  <c r="V97" i="9" s="1"/>
  <c r="K97" i="9"/>
  <c r="J97" i="9"/>
  <c r="I97" i="9"/>
  <c r="U97" i="9" s="1"/>
  <c r="H97" i="9"/>
  <c r="G97" i="9"/>
  <c r="F97" i="9"/>
  <c r="E97" i="9"/>
  <c r="D97" i="9"/>
  <c r="C97" i="9"/>
  <c r="P96" i="9"/>
  <c r="O96" i="9"/>
  <c r="N96" i="9"/>
  <c r="M96" i="9"/>
  <c r="L96" i="9"/>
  <c r="V96" i="9" s="1"/>
  <c r="K96" i="9"/>
  <c r="J96" i="9"/>
  <c r="I96" i="9"/>
  <c r="U96" i="9" s="1"/>
  <c r="H96" i="9"/>
  <c r="G96" i="9"/>
  <c r="F96" i="9"/>
  <c r="T96" i="9" s="1"/>
  <c r="E96" i="9"/>
  <c r="D96" i="9"/>
  <c r="C96" i="9"/>
  <c r="P95" i="9"/>
  <c r="O95" i="9"/>
  <c r="N95" i="9"/>
  <c r="M95" i="9"/>
  <c r="L95" i="9"/>
  <c r="V95" i="9" s="1"/>
  <c r="K95" i="9"/>
  <c r="J95" i="9"/>
  <c r="I95" i="9"/>
  <c r="U95" i="9" s="1"/>
  <c r="H95" i="9"/>
  <c r="G95" i="9"/>
  <c r="F95" i="9"/>
  <c r="E95" i="9"/>
  <c r="D95" i="9"/>
  <c r="C95" i="9"/>
  <c r="P94" i="9"/>
  <c r="O94" i="9"/>
  <c r="N94" i="9"/>
  <c r="M94" i="9"/>
  <c r="L94" i="9"/>
  <c r="V94" i="9" s="1"/>
  <c r="K94" i="9"/>
  <c r="J94" i="9"/>
  <c r="I94" i="9"/>
  <c r="H94" i="9"/>
  <c r="G94" i="9"/>
  <c r="F94" i="9"/>
  <c r="T94" i="9" s="1"/>
  <c r="E94" i="9"/>
  <c r="D94" i="9"/>
  <c r="C94" i="9"/>
  <c r="P93" i="9"/>
  <c r="O93" i="9"/>
  <c r="N93" i="9"/>
  <c r="M93" i="9"/>
  <c r="L93" i="9"/>
  <c r="V93" i="9" s="1"/>
  <c r="K93" i="9"/>
  <c r="J93" i="9"/>
  <c r="I93" i="9"/>
  <c r="X93" i="9" s="1"/>
  <c r="H93" i="9"/>
  <c r="G93" i="9"/>
  <c r="F93" i="9"/>
  <c r="E93" i="9"/>
  <c r="D93" i="9"/>
  <c r="C93" i="9"/>
  <c r="P92" i="9"/>
  <c r="O92" i="9"/>
  <c r="N92" i="9"/>
  <c r="M92" i="9"/>
  <c r="L92" i="9"/>
  <c r="V92" i="9" s="1"/>
  <c r="K92" i="9"/>
  <c r="J92" i="9"/>
  <c r="I92" i="9"/>
  <c r="U92" i="9" s="1"/>
  <c r="H92" i="9"/>
  <c r="G92" i="9"/>
  <c r="F92" i="9"/>
  <c r="E92" i="9"/>
  <c r="D92" i="9"/>
  <c r="C92" i="9"/>
  <c r="P91" i="9"/>
  <c r="O91" i="9"/>
  <c r="N91" i="9"/>
  <c r="M91" i="9"/>
  <c r="L91" i="9"/>
  <c r="V91" i="9" s="1"/>
  <c r="K91" i="9"/>
  <c r="J91" i="9"/>
  <c r="I91" i="9"/>
  <c r="X91" i="9" s="1"/>
  <c r="H91" i="9"/>
  <c r="G91" i="9"/>
  <c r="F91" i="9"/>
  <c r="E91" i="9"/>
  <c r="D91" i="9"/>
  <c r="C91" i="9"/>
  <c r="P90" i="9"/>
  <c r="O90" i="9"/>
  <c r="N90" i="9"/>
  <c r="M90" i="9"/>
  <c r="L90" i="9"/>
  <c r="V90" i="9" s="1"/>
  <c r="K90" i="9"/>
  <c r="J90" i="9"/>
  <c r="I90" i="9"/>
  <c r="H90" i="9"/>
  <c r="G90" i="9"/>
  <c r="F90" i="9"/>
  <c r="T90" i="9" s="1"/>
  <c r="E90" i="9"/>
  <c r="D90" i="9"/>
  <c r="C90" i="9"/>
  <c r="P89" i="9"/>
  <c r="O89" i="9"/>
  <c r="N89" i="9"/>
  <c r="M89" i="9"/>
  <c r="L89" i="9"/>
  <c r="V89" i="9" s="1"/>
  <c r="K89" i="9"/>
  <c r="J89" i="9"/>
  <c r="I89" i="9"/>
  <c r="U89" i="9" s="1"/>
  <c r="H89" i="9"/>
  <c r="G89" i="9"/>
  <c r="F89" i="9"/>
  <c r="E89" i="9"/>
  <c r="D89" i="9"/>
  <c r="C89" i="9"/>
  <c r="P88" i="9"/>
  <c r="O88" i="9"/>
  <c r="N88" i="9"/>
  <c r="M88" i="9"/>
  <c r="L88" i="9"/>
  <c r="V88" i="9" s="1"/>
  <c r="K88" i="9"/>
  <c r="J88" i="9"/>
  <c r="I88" i="9"/>
  <c r="U88" i="9" s="1"/>
  <c r="H88" i="9"/>
  <c r="G88" i="9"/>
  <c r="F88" i="9"/>
  <c r="T88" i="9" s="1"/>
  <c r="E88" i="9"/>
  <c r="D88" i="9"/>
  <c r="C88" i="9"/>
  <c r="P87" i="9"/>
  <c r="O87" i="9"/>
  <c r="N87" i="9"/>
  <c r="M87" i="9"/>
  <c r="L87" i="9"/>
  <c r="V87" i="9" s="1"/>
  <c r="K87" i="9"/>
  <c r="J87" i="9"/>
  <c r="I87" i="9"/>
  <c r="U87" i="9" s="1"/>
  <c r="H87" i="9"/>
  <c r="G87" i="9"/>
  <c r="F87" i="9"/>
  <c r="E87" i="9"/>
  <c r="D87" i="9"/>
  <c r="C87" i="9"/>
  <c r="P86" i="9"/>
  <c r="O86" i="9"/>
  <c r="N86" i="9"/>
  <c r="M86" i="9"/>
  <c r="L86" i="9"/>
  <c r="V86" i="9" s="1"/>
  <c r="K86" i="9"/>
  <c r="J86" i="9"/>
  <c r="I86" i="9"/>
  <c r="H86" i="9"/>
  <c r="G86" i="9"/>
  <c r="F86" i="9"/>
  <c r="T86" i="9" s="1"/>
  <c r="E86" i="9"/>
  <c r="D86" i="9"/>
  <c r="C86" i="9"/>
  <c r="P85" i="9"/>
  <c r="O85" i="9"/>
  <c r="N85" i="9"/>
  <c r="M85" i="9"/>
  <c r="L85" i="9"/>
  <c r="V85" i="9" s="1"/>
  <c r="K85" i="9"/>
  <c r="J85" i="9"/>
  <c r="I85" i="9"/>
  <c r="U85" i="9" s="1"/>
  <c r="H85" i="9"/>
  <c r="G85" i="9"/>
  <c r="F85" i="9"/>
  <c r="E85" i="9"/>
  <c r="D85" i="9"/>
  <c r="C85" i="9"/>
  <c r="P84" i="9"/>
  <c r="O84" i="9"/>
  <c r="N84" i="9"/>
  <c r="M84" i="9"/>
  <c r="L84" i="9"/>
  <c r="V84" i="9" s="1"/>
  <c r="K84" i="9"/>
  <c r="J84" i="9"/>
  <c r="I84" i="9"/>
  <c r="X84" i="9" s="1"/>
  <c r="H84" i="9"/>
  <c r="G84" i="9"/>
  <c r="F84" i="9"/>
  <c r="E84" i="9"/>
  <c r="D84" i="9"/>
  <c r="C84" i="9"/>
  <c r="P83" i="9"/>
  <c r="O83" i="9"/>
  <c r="N83" i="9"/>
  <c r="M83" i="9"/>
  <c r="L83" i="9"/>
  <c r="V83" i="9" s="1"/>
  <c r="K83" i="9"/>
  <c r="J83" i="9"/>
  <c r="I83" i="9"/>
  <c r="X83" i="9" s="1"/>
  <c r="H83" i="9"/>
  <c r="G83" i="9"/>
  <c r="F83" i="9"/>
  <c r="E83" i="9"/>
  <c r="D83" i="9"/>
  <c r="C83" i="9"/>
  <c r="P82" i="9"/>
  <c r="O82" i="9"/>
  <c r="N82" i="9"/>
  <c r="M82" i="9"/>
  <c r="L82" i="9"/>
  <c r="V82" i="9" s="1"/>
  <c r="K82" i="9"/>
  <c r="J82" i="9"/>
  <c r="I82" i="9"/>
  <c r="X82" i="9" s="1"/>
  <c r="H82" i="9"/>
  <c r="G82" i="9"/>
  <c r="F82" i="9"/>
  <c r="T82" i="9" s="1"/>
  <c r="E82" i="9"/>
  <c r="D82" i="9"/>
  <c r="C82" i="9"/>
  <c r="P81" i="9"/>
  <c r="O81" i="9"/>
  <c r="N81" i="9"/>
  <c r="M81" i="9"/>
  <c r="L81" i="9"/>
  <c r="V81" i="9" s="1"/>
  <c r="K81" i="9"/>
  <c r="J81" i="9"/>
  <c r="I81" i="9"/>
  <c r="U81" i="9" s="1"/>
  <c r="H81" i="9"/>
  <c r="G81" i="9"/>
  <c r="F81" i="9"/>
  <c r="E81" i="9"/>
  <c r="D81" i="9"/>
  <c r="C81" i="9"/>
  <c r="P80" i="9"/>
  <c r="O80" i="9"/>
  <c r="N80" i="9"/>
  <c r="M80" i="9"/>
  <c r="L80" i="9"/>
  <c r="V80" i="9" s="1"/>
  <c r="K80" i="9"/>
  <c r="J80" i="9"/>
  <c r="I80" i="9"/>
  <c r="U80" i="9" s="1"/>
  <c r="H80" i="9"/>
  <c r="G80" i="9"/>
  <c r="F80" i="9"/>
  <c r="T80" i="9" s="1"/>
  <c r="E80" i="9"/>
  <c r="D80" i="9"/>
  <c r="C80" i="9"/>
  <c r="P79" i="9"/>
  <c r="O79" i="9"/>
  <c r="N79" i="9"/>
  <c r="M79" i="9"/>
  <c r="L79" i="9"/>
  <c r="V79" i="9" s="1"/>
  <c r="K79" i="9"/>
  <c r="J79" i="9"/>
  <c r="I79" i="9"/>
  <c r="U79" i="9" s="1"/>
  <c r="H79" i="9"/>
  <c r="G79" i="9"/>
  <c r="F79" i="9"/>
  <c r="E79" i="9"/>
  <c r="D79" i="9"/>
  <c r="C79" i="9"/>
  <c r="P78" i="9"/>
  <c r="O78" i="9"/>
  <c r="N78" i="9"/>
  <c r="M78" i="9"/>
  <c r="L78" i="9"/>
  <c r="V78" i="9" s="1"/>
  <c r="K78" i="9"/>
  <c r="J78" i="9"/>
  <c r="I78" i="9"/>
  <c r="H78" i="9"/>
  <c r="G78" i="9"/>
  <c r="F78" i="9"/>
  <c r="T78" i="9" s="1"/>
  <c r="E78" i="9"/>
  <c r="D78" i="9"/>
  <c r="C78" i="9"/>
  <c r="P77" i="9"/>
  <c r="O77" i="9"/>
  <c r="N77" i="9"/>
  <c r="M77" i="9"/>
  <c r="L77" i="9"/>
  <c r="V77" i="9" s="1"/>
  <c r="K77" i="9"/>
  <c r="J77" i="9"/>
  <c r="I77" i="9"/>
  <c r="U77" i="9" s="1"/>
  <c r="H77" i="9"/>
  <c r="G77" i="9"/>
  <c r="F77" i="9"/>
  <c r="E77" i="9"/>
  <c r="D77" i="9"/>
  <c r="C77" i="9"/>
  <c r="P76" i="9"/>
  <c r="O76" i="9"/>
  <c r="N76" i="9"/>
  <c r="M76" i="9"/>
  <c r="L76" i="9"/>
  <c r="V76" i="9" s="1"/>
  <c r="K76" i="9"/>
  <c r="J76" i="9"/>
  <c r="I76" i="9"/>
  <c r="U76" i="9" s="1"/>
  <c r="H76" i="9"/>
  <c r="G76" i="9"/>
  <c r="F76" i="9"/>
  <c r="E76" i="9"/>
  <c r="D76" i="9"/>
  <c r="C76" i="9"/>
  <c r="P75" i="9"/>
  <c r="O75" i="9"/>
  <c r="N75" i="9"/>
  <c r="M75" i="9"/>
  <c r="L75" i="9"/>
  <c r="V75" i="9" s="1"/>
  <c r="K75" i="9"/>
  <c r="J75" i="9"/>
  <c r="I75" i="9"/>
  <c r="X75" i="9" s="1"/>
  <c r="H75" i="9"/>
  <c r="G75" i="9"/>
  <c r="F75" i="9"/>
  <c r="E75" i="9"/>
  <c r="D75" i="9"/>
  <c r="C75" i="9"/>
  <c r="P74" i="9"/>
  <c r="O74" i="9"/>
  <c r="N74" i="9"/>
  <c r="M74" i="9"/>
  <c r="L74" i="9"/>
  <c r="V74" i="9" s="1"/>
  <c r="K74" i="9"/>
  <c r="J74" i="9"/>
  <c r="I74" i="9"/>
  <c r="X74" i="9" s="1"/>
  <c r="H74" i="9"/>
  <c r="G74" i="9"/>
  <c r="F74" i="9"/>
  <c r="T74" i="9" s="1"/>
  <c r="E74" i="9"/>
  <c r="D74" i="9"/>
  <c r="C74" i="9"/>
  <c r="P73" i="9"/>
  <c r="O73" i="9"/>
  <c r="N73" i="9"/>
  <c r="M73" i="9"/>
  <c r="L73" i="9"/>
  <c r="V73" i="9" s="1"/>
  <c r="K73" i="9"/>
  <c r="J73" i="9"/>
  <c r="I73" i="9"/>
  <c r="U73" i="9" s="1"/>
  <c r="H73" i="9"/>
  <c r="G73" i="9"/>
  <c r="F73" i="9"/>
  <c r="E73" i="9"/>
  <c r="D73" i="9"/>
  <c r="C73" i="9"/>
  <c r="P72" i="9"/>
  <c r="O72" i="9"/>
  <c r="N72" i="9"/>
  <c r="M72" i="9"/>
  <c r="L72" i="9"/>
  <c r="V72" i="9" s="1"/>
  <c r="K72" i="9"/>
  <c r="J72" i="9"/>
  <c r="I72" i="9"/>
  <c r="H72" i="9"/>
  <c r="G72" i="9"/>
  <c r="F72" i="9"/>
  <c r="T72" i="9" s="1"/>
  <c r="E72" i="9"/>
  <c r="D72" i="9"/>
  <c r="C72" i="9"/>
  <c r="P71" i="9"/>
  <c r="O71" i="9"/>
  <c r="N71" i="9"/>
  <c r="M71" i="9"/>
  <c r="L71" i="9"/>
  <c r="V71" i="9" s="1"/>
  <c r="K71" i="9"/>
  <c r="J71" i="9"/>
  <c r="I71" i="9"/>
  <c r="U71" i="9" s="1"/>
  <c r="H71" i="9"/>
  <c r="G71" i="9"/>
  <c r="F71" i="9"/>
  <c r="E71" i="9"/>
  <c r="D71" i="9"/>
  <c r="C71" i="9"/>
  <c r="P70" i="9"/>
  <c r="O70" i="9"/>
  <c r="N70" i="9"/>
  <c r="M70" i="9"/>
  <c r="L70" i="9"/>
  <c r="V70" i="9" s="1"/>
  <c r="K70" i="9"/>
  <c r="J70" i="9"/>
  <c r="I70" i="9"/>
  <c r="H70" i="9"/>
  <c r="G70" i="9"/>
  <c r="F70" i="9"/>
  <c r="T70" i="9" s="1"/>
  <c r="E70" i="9"/>
  <c r="D70" i="9"/>
  <c r="C70" i="9"/>
  <c r="P69" i="9"/>
  <c r="O69" i="9"/>
  <c r="N69" i="9"/>
  <c r="M69" i="9"/>
  <c r="L69" i="9"/>
  <c r="V69" i="9" s="1"/>
  <c r="K69" i="9"/>
  <c r="J69" i="9"/>
  <c r="I69" i="9"/>
  <c r="U69" i="9" s="1"/>
  <c r="H69" i="9"/>
  <c r="G69" i="9"/>
  <c r="F69" i="9"/>
  <c r="E69" i="9"/>
  <c r="D69" i="9"/>
  <c r="C69" i="9"/>
  <c r="P68" i="9"/>
  <c r="O68" i="9"/>
  <c r="N68" i="9"/>
  <c r="M68" i="9"/>
  <c r="L68" i="9"/>
  <c r="V68" i="9" s="1"/>
  <c r="K68" i="9"/>
  <c r="J68" i="9"/>
  <c r="I68" i="9"/>
  <c r="X68" i="9" s="1"/>
  <c r="H68" i="9"/>
  <c r="G68" i="9"/>
  <c r="F68" i="9"/>
  <c r="E68" i="9"/>
  <c r="D68" i="9"/>
  <c r="C68" i="9"/>
  <c r="P67" i="9"/>
  <c r="O67" i="9"/>
  <c r="N67" i="9"/>
  <c r="M67" i="9"/>
  <c r="L67" i="9"/>
  <c r="V67" i="9" s="1"/>
  <c r="K67" i="9"/>
  <c r="J67" i="9"/>
  <c r="I67" i="9"/>
  <c r="X67" i="9" s="1"/>
  <c r="H67" i="9"/>
  <c r="G67" i="9"/>
  <c r="F67" i="9"/>
  <c r="E67" i="9"/>
  <c r="D67" i="9"/>
  <c r="C67" i="9"/>
  <c r="P66" i="9"/>
  <c r="O66" i="9"/>
  <c r="N66" i="9"/>
  <c r="M66" i="9"/>
  <c r="L66" i="9"/>
  <c r="V66" i="9" s="1"/>
  <c r="K66" i="9"/>
  <c r="J66" i="9"/>
  <c r="I66" i="9"/>
  <c r="H66" i="9"/>
  <c r="G66" i="9"/>
  <c r="F66" i="9"/>
  <c r="T66" i="9" s="1"/>
  <c r="E66" i="9"/>
  <c r="D66" i="9"/>
  <c r="C66" i="9"/>
  <c r="P65" i="9"/>
  <c r="O65" i="9"/>
  <c r="N65" i="9"/>
  <c r="M65" i="9"/>
  <c r="L65" i="9"/>
  <c r="V65" i="9" s="1"/>
  <c r="K65" i="9"/>
  <c r="J65" i="9"/>
  <c r="I65" i="9"/>
  <c r="U65" i="9" s="1"/>
  <c r="H65" i="9"/>
  <c r="G65" i="9"/>
  <c r="F65" i="9"/>
  <c r="E65" i="9"/>
  <c r="D65" i="9"/>
  <c r="C65" i="9"/>
  <c r="P64" i="9"/>
  <c r="O64" i="9"/>
  <c r="N64" i="9"/>
  <c r="M64" i="9"/>
  <c r="L64" i="9"/>
  <c r="V64" i="9" s="1"/>
  <c r="K64" i="9"/>
  <c r="J64" i="9"/>
  <c r="I64" i="9"/>
  <c r="U64" i="9" s="1"/>
  <c r="H64" i="9"/>
  <c r="G64" i="9"/>
  <c r="F64" i="9"/>
  <c r="T64" i="9" s="1"/>
  <c r="E64" i="9"/>
  <c r="D64" i="9"/>
  <c r="C64" i="9"/>
  <c r="P63" i="9"/>
  <c r="O63" i="9"/>
  <c r="N63" i="9"/>
  <c r="M63" i="9"/>
  <c r="L63" i="9"/>
  <c r="V63" i="9" s="1"/>
  <c r="K63" i="9"/>
  <c r="J63" i="9"/>
  <c r="I63" i="9"/>
  <c r="U63" i="9" s="1"/>
  <c r="H63" i="9"/>
  <c r="G63" i="9"/>
  <c r="F63" i="9"/>
  <c r="T63" i="9" s="1"/>
  <c r="E63" i="9"/>
  <c r="D63" i="9"/>
  <c r="C63" i="9"/>
  <c r="P62" i="9"/>
  <c r="O62" i="9"/>
  <c r="N62" i="9"/>
  <c r="M62" i="9"/>
  <c r="L62" i="9"/>
  <c r="V62" i="9" s="1"/>
  <c r="K62" i="9"/>
  <c r="J62" i="9"/>
  <c r="I62" i="9"/>
  <c r="H62" i="9"/>
  <c r="G62" i="9"/>
  <c r="F62" i="9"/>
  <c r="T62" i="9" s="1"/>
  <c r="E62" i="9"/>
  <c r="D62" i="9"/>
  <c r="C62" i="9"/>
  <c r="P61" i="9"/>
  <c r="O61" i="9"/>
  <c r="N61" i="9"/>
  <c r="M61" i="9"/>
  <c r="L61" i="9"/>
  <c r="V61" i="9" s="1"/>
  <c r="K61" i="9"/>
  <c r="J61" i="9"/>
  <c r="I61" i="9"/>
  <c r="X61" i="9" s="1"/>
  <c r="H61" i="9"/>
  <c r="G61" i="9"/>
  <c r="F61" i="9"/>
  <c r="E61" i="9"/>
  <c r="D61" i="9"/>
  <c r="C61" i="9"/>
  <c r="P60" i="9"/>
  <c r="O60" i="9"/>
  <c r="N60" i="9"/>
  <c r="M60" i="9"/>
  <c r="L60" i="9"/>
  <c r="V60" i="9" s="1"/>
  <c r="K60" i="9"/>
  <c r="J60" i="9"/>
  <c r="I60" i="9"/>
  <c r="U60" i="9" s="1"/>
  <c r="H60" i="9"/>
  <c r="G60" i="9"/>
  <c r="F60" i="9"/>
  <c r="E60" i="9"/>
  <c r="D60" i="9"/>
  <c r="C60" i="9"/>
  <c r="P59" i="9"/>
  <c r="O59" i="9"/>
  <c r="N59" i="9"/>
  <c r="M59" i="9"/>
  <c r="L59" i="9"/>
  <c r="V59" i="9" s="1"/>
  <c r="K59" i="9"/>
  <c r="J59" i="9"/>
  <c r="I59" i="9"/>
  <c r="X59" i="9" s="1"/>
  <c r="H59" i="9"/>
  <c r="G59" i="9"/>
  <c r="F59" i="9"/>
  <c r="E59" i="9"/>
  <c r="D59" i="9"/>
  <c r="C59" i="9"/>
  <c r="P58" i="9"/>
  <c r="O58" i="9"/>
  <c r="N58" i="9"/>
  <c r="M58" i="9"/>
  <c r="L58" i="9"/>
  <c r="V58" i="9" s="1"/>
  <c r="K58" i="9"/>
  <c r="J58" i="9"/>
  <c r="I58" i="9"/>
  <c r="X58" i="9" s="1"/>
  <c r="H58" i="9"/>
  <c r="G58" i="9"/>
  <c r="F58" i="9"/>
  <c r="T58" i="9" s="1"/>
  <c r="E58" i="9"/>
  <c r="D58" i="9"/>
  <c r="C58" i="9"/>
  <c r="P57" i="9"/>
  <c r="O57" i="9"/>
  <c r="N57" i="9"/>
  <c r="M57" i="9"/>
  <c r="L57" i="9"/>
  <c r="V57" i="9" s="1"/>
  <c r="K57" i="9"/>
  <c r="J57" i="9"/>
  <c r="I57" i="9"/>
  <c r="U57" i="9" s="1"/>
  <c r="H57" i="9"/>
  <c r="G57" i="9"/>
  <c r="F57" i="9"/>
  <c r="E57" i="9"/>
  <c r="D57" i="9"/>
  <c r="C57" i="9"/>
  <c r="P56" i="9"/>
  <c r="O56" i="9"/>
  <c r="N56" i="9"/>
  <c r="M56" i="9"/>
  <c r="L56" i="9"/>
  <c r="V56" i="9" s="1"/>
  <c r="K56" i="9"/>
  <c r="J56" i="9"/>
  <c r="I56" i="9"/>
  <c r="U56" i="9" s="1"/>
  <c r="H56" i="9"/>
  <c r="G56" i="9"/>
  <c r="F56" i="9"/>
  <c r="T56" i="9" s="1"/>
  <c r="E56" i="9"/>
  <c r="D56" i="9"/>
  <c r="C56" i="9"/>
  <c r="P55" i="9"/>
  <c r="O55" i="9"/>
  <c r="N55" i="9"/>
  <c r="M55" i="9"/>
  <c r="L55" i="9"/>
  <c r="V55" i="9" s="1"/>
  <c r="K55" i="9"/>
  <c r="J55" i="9"/>
  <c r="I55" i="9"/>
  <c r="U55" i="9" s="1"/>
  <c r="H55" i="9"/>
  <c r="G55" i="9"/>
  <c r="F55" i="9"/>
  <c r="T55" i="9" s="1"/>
  <c r="E55" i="9"/>
  <c r="D55" i="9"/>
  <c r="C55" i="9"/>
  <c r="P54" i="9"/>
  <c r="O54" i="9"/>
  <c r="N54" i="9"/>
  <c r="M54" i="9"/>
  <c r="L54" i="9"/>
  <c r="V54" i="9" s="1"/>
  <c r="K54" i="9"/>
  <c r="J54" i="9"/>
  <c r="I54" i="9"/>
  <c r="H54" i="9"/>
  <c r="G54" i="9"/>
  <c r="F54" i="9"/>
  <c r="T54" i="9" s="1"/>
  <c r="E54" i="9"/>
  <c r="D54" i="9"/>
  <c r="C54" i="9"/>
  <c r="P53" i="9"/>
  <c r="O53" i="9"/>
  <c r="N53" i="9"/>
  <c r="M53" i="9"/>
  <c r="L53" i="9"/>
  <c r="V53" i="9" s="1"/>
  <c r="K53" i="9"/>
  <c r="J53" i="9"/>
  <c r="I53" i="9"/>
  <c r="X53" i="9" s="1"/>
  <c r="H53" i="9"/>
  <c r="G53" i="9"/>
  <c r="F53" i="9"/>
  <c r="E53" i="9"/>
  <c r="D53" i="9"/>
  <c r="C53" i="9"/>
  <c r="P52" i="9"/>
  <c r="O52" i="9"/>
  <c r="N52" i="9"/>
  <c r="M52" i="9"/>
  <c r="L52" i="9"/>
  <c r="V52" i="9" s="1"/>
  <c r="K52" i="9"/>
  <c r="J52" i="9"/>
  <c r="I52" i="9"/>
  <c r="U52" i="9" s="1"/>
  <c r="H52" i="9"/>
  <c r="G52" i="9"/>
  <c r="F52" i="9"/>
  <c r="E52" i="9"/>
  <c r="D52" i="9"/>
  <c r="C52" i="9"/>
  <c r="P51" i="9"/>
  <c r="O51" i="9"/>
  <c r="N51" i="9"/>
  <c r="M51" i="9"/>
  <c r="L51" i="9"/>
  <c r="V51" i="9" s="1"/>
  <c r="K51" i="9"/>
  <c r="J51" i="9"/>
  <c r="I51" i="9"/>
  <c r="X51" i="9" s="1"/>
  <c r="H51" i="9"/>
  <c r="G51" i="9"/>
  <c r="F51" i="9"/>
  <c r="E51" i="9"/>
  <c r="D51" i="9"/>
  <c r="C51" i="9"/>
  <c r="P50" i="9"/>
  <c r="O50" i="9"/>
  <c r="N50" i="9"/>
  <c r="M50" i="9"/>
  <c r="L50" i="9"/>
  <c r="V50" i="9" s="1"/>
  <c r="K50" i="9"/>
  <c r="J50" i="9"/>
  <c r="I50" i="9"/>
  <c r="X50" i="9" s="1"/>
  <c r="H50" i="9"/>
  <c r="G50" i="9"/>
  <c r="F50" i="9"/>
  <c r="T50" i="9" s="1"/>
  <c r="E50" i="9"/>
  <c r="D50" i="9"/>
  <c r="C50" i="9"/>
  <c r="P49" i="9"/>
  <c r="O49" i="9"/>
  <c r="N49" i="9"/>
  <c r="M49" i="9"/>
  <c r="L49" i="9"/>
  <c r="V49" i="9" s="1"/>
  <c r="K49" i="9"/>
  <c r="J49" i="9"/>
  <c r="I49" i="9"/>
  <c r="U49" i="9" s="1"/>
  <c r="H49" i="9"/>
  <c r="G49" i="9"/>
  <c r="F49" i="9"/>
  <c r="E49" i="9"/>
  <c r="D49" i="9"/>
  <c r="C49" i="9"/>
  <c r="P48" i="9"/>
  <c r="O48" i="9"/>
  <c r="N48" i="9"/>
  <c r="M48" i="9"/>
  <c r="L48" i="9"/>
  <c r="V48" i="9" s="1"/>
  <c r="K48" i="9"/>
  <c r="J48" i="9"/>
  <c r="I48" i="9"/>
  <c r="H48" i="9"/>
  <c r="G48" i="9"/>
  <c r="F48" i="9"/>
  <c r="T48" i="9" s="1"/>
  <c r="E48" i="9"/>
  <c r="D48" i="9"/>
  <c r="C48" i="9"/>
  <c r="P47" i="9"/>
  <c r="O47" i="9"/>
  <c r="N47" i="9"/>
  <c r="M47" i="9"/>
  <c r="L47" i="9"/>
  <c r="V47" i="9" s="1"/>
  <c r="K47" i="9"/>
  <c r="J47" i="9"/>
  <c r="I47" i="9"/>
  <c r="U47" i="9" s="1"/>
  <c r="H47" i="9"/>
  <c r="G47" i="9"/>
  <c r="F47" i="9"/>
  <c r="T47" i="9" s="1"/>
  <c r="E47" i="9"/>
  <c r="D47" i="9"/>
  <c r="C47" i="9"/>
  <c r="P46" i="9"/>
  <c r="O46" i="9"/>
  <c r="N46" i="9"/>
  <c r="M46" i="9"/>
  <c r="L46" i="9"/>
  <c r="V46" i="9" s="1"/>
  <c r="K46" i="9"/>
  <c r="J46" i="9"/>
  <c r="I46" i="9"/>
  <c r="H46" i="9"/>
  <c r="G46" i="9"/>
  <c r="F46" i="9"/>
  <c r="T46" i="9" s="1"/>
  <c r="E46" i="9"/>
  <c r="D46" i="9"/>
  <c r="C46" i="9"/>
  <c r="P45" i="9"/>
  <c r="O45" i="9"/>
  <c r="N45" i="9"/>
  <c r="M45" i="9"/>
  <c r="L45" i="9"/>
  <c r="V45" i="9" s="1"/>
  <c r="K45" i="9"/>
  <c r="J45" i="9"/>
  <c r="I45" i="9"/>
  <c r="X45" i="9" s="1"/>
  <c r="H45" i="9"/>
  <c r="G45" i="9"/>
  <c r="F45" i="9"/>
  <c r="E45" i="9"/>
  <c r="D45" i="9"/>
  <c r="C45" i="9"/>
  <c r="P44" i="9"/>
  <c r="O44" i="9"/>
  <c r="N44" i="9"/>
  <c r="M44" i="9"/>
  <c r="L44" i="9"/>
  <c r="V44" i="9" s="1"/>
  <c r="K44" i="9"/>
  <c r="J44" i="9"/>
  <c r="I44" i="9"/>
  <c r="U44" i="9" s="1"/>
  <c r="H44" i="9"/>
  <c r="G44" i="9"/>
  <c r="F44" i="9"/>
  <c r="E44" i="9"/>
  <c r="D44" i="9"/>
  <c r="C44" i="9"/>
  <c r="P43" i="9"/>
  <c r="O43" i="9"/>
  <c r="N43" i="9"/>
  <c r="M43" i="9"/>
  <c r="L43" i="9"/>
  <c r="V43" i="9" s="1"/>
  <c r="K43" i="9"/>
  <c r="J43" i="9"/>
  <c r="I43" i="9"/>
  <c r="X43" i="9" s="1"/>
  <c r="H43" i="9"/>
  <c r="G43" i="9"/>
  <c r="F43" i="9"/>
  <c r="E43" i="9"/>
  <c r="D43" i="9"/>
  <c r="C43" i="9"/>
  <c r="P42" i="9"/>
  <c r="O42" i="9"/>
  <c r="N42" i="9"/>
  <c r="M42" i="9"/>
  <c r="L42" i="9"/>
  <c r="V42" i="9" s="1"/>
  <c r="K42" i="9"/>
  <c r="J42" i="9"/>
  <c r="I42" i="9"/>
  <c r="X42" i="9" s="1"/>
  <c r="H42" i="9"/>
  <c r="G42" i="9"/>
  <c r="F42" i="9"/>
  <c r="T42" i="9" s="1"/>
  <c r="E42" i="9"/>
  <c r="D42" i="9"/>
  <c r="C42" i="9"/>
  <c r="P41" i="9"/>
  <c r="O41" i="9"/>
  <c r="N41" i="9"/>
  <c r="M41" i="9"/>
  <c r="L41" i="9"/>
  <c r="V41" i="9" s="1"/>
  <c r="K41" i="9"/>
  <c r="J41" i="9"/>
  <c r="I41" i="9"/>
  <c r="U41" i="9" s="1"/>
  <c r="H41" i="9"/>
  <c r="G41" i="9"/>
  <c r="F41" i="9"/>
  <c r="E41" i="9"/>
  <c r="D41" i="9"/>
  <c r="C41" i="9"/>
  <c r="P40" i="9"/>
  <c r="O40" i="9"/>
  <c r="N40" i="9"/>
  <c r="M40" i="9"/>
  <c r="L40" i="9"/>
  <c r="V40" i="9" s="1"/>
  <c r="K40" i="9"/>
  <c r="J40" i="9"/>
  <c r="I40" i="9"/>
  <c r="U40" i="9" s="1"/>
  <c r="H40" i="9"/>
  <c r="G40" i="9"/>
  <c r="F40" i="9"/>
  <c r="T40" i="9" s="1"/>
  <c r="E40" i="9"/>
  <c r="D40" i="9"/>
  <c r="C40" i="9"/>
  <c r="P39" i="9"/>
  <c r="O39" i="9"/>
  <c r="N39" i="9"/>
  <c r="M39" i="9"/>
  <c r="L39" i="9"/>
  <c r="V39" i="9" s="1"/>
  <c r="K39" i="9"/>
  <c r="J39" i="9"/>
  <c r="I39" i="9"/>
  <c r="U39" i="9" s="1"/>
  <c r="H39" i="9"/>
  <c r="G39" i="9"/>
  <c r="F39" i="9"/>
  <c r="T39" i="9" s="1"/>
  <c r="E39" i="9"/>
  <c r="D39" i="9"/>
  <c r="C39" i="9"/>
  <c r="P38" i="9"/>
  <c r="O38" i="9"/>
  <c r="N38" i="9"/>
  <c r="M38" i="9"/>
  <c r="L38" i="9"/>
  <c r="V38" i="9" s="1"/>
  <c r="K38" i="9"/>
  <c r="J38" i="9"/>
  <c r="I38" i="9"/>
  <c r="H38" i="9"/>
  <c r="G38" i="9"/>
  <c r="F38" i="9"/>
  <c r="T38" i="9" s="1"/>
  <c r="E38" i="9"/>
  <c r="D38" i="9"/>
  <c r="C38" i="9"/>
  <c r="P37" i="9"/>
  <c r="O37" i="9"/>
  <c r="N37" i="9"/>
  <c r="M37" i="9"/>
  <c r="L37" i="9"/>
  <c r="V37" i="9" s="1"/>
  <c r="K37" i="9"/>
  <c r="J37" i="9"/>
  <c r="I37" i="9"/>
  <c r="X37" i="9" s="1"/>
  <c r="H37" i="9"/>
  <c r="G37" i="9"/>
  <c r="F37" i="9"/>
  <c r="E37" i="9"/>
  <c r="D37" i="9"/>
  <c r="C37" i="9"/>
  <c r="P36" i="9"/>
  <c r="O36" i="9"/>
  <c r="N36" i="9"/>
  <c r="M36" i="9"/>
  <c r="L36" i="9"/>
  <c r="V36" i="9" s="1"/>
  <c r="K36" i="9"/>
  <c r="J36" i="9"/>
  <c r="I36" i="9"/>
  <c r="U36" i="9" s="1"/>
  <c r="H36" i="9"/>
  <c r="G36" i="9"/>
  <c r="F36" i="9"/>
  <c r="E36" i="9"/>
  <c r="D36" i="9"/>
  <c r="C36" i="9"/>
  <c r="P35" i="9"/>
  <c r="O35" i="9"/>
  <c r="N35" i="9"/>
  <c r="M35" i="9"/>
  <c r="L35" i="9"/>
  <c r="V35" i="9" s="1"/>
  <c r="K35" i="9"/>
  <c r="J35" i="9"/>
  <c r="I35" i="9"/>
  <c r="X35" i="9" s="1"/>
  <c r="H35" i="9"/>
  <c r="G35" i="9"/>
  <c r="F35" i="9"/>
  <c r="E35" i="9"/>
  <c r="D35" i="9"/>
  <c r="C35" i="9"/>
  <c r="P34" i="9"/>
  <c r="O34" i="9"/>
  <c r="N34" i="9"/>
  <c r="M34" i="9"/>
  <c r="L34" i="9"/>
  <c r="V34" i="9" s="1"/>
  <c r="K34" i="9"/>
  <c r="J34" i="9"/>
  <c r="I34" i="9"/>
  <c r="H34" i="9"/>
  <c r="G34" i="9"/>
  <c r="F34" i="9"/>
  <c r="T34" i="9" s="1"/>
  <c r="E34" i="9"/>
  <c r="D34" i="9"/>
  <c r="C34" i="9"/>
  <c r="P33" i="9"/>
  <c r="O33" i="9"/>
  <c r="N33" i="9"/>
  <c r="M33" i="9"/>
  <c r="L33" i="9"/>
  <c r="V33" i="9" s="1"/>
  <c r="K33" i="9"/>
  <c r="J33" i="9"/>
  <c r="I33" i="9"/>
  <c r="U33" i="9" s="1"/>
  <c r="H33" i="9"/>
  <c r="G33" i="9"/>
  <c r="F33" i="9"/>
  <c r="E33" i="9"/>
  <c r="D33" i="9"/>
  <c r="C33" i="9"/>
  <c r="P32" i="9"/>
  <c r="O32" i="9"/>
  <c r="N32" i="9"/>
  <c r="M32" i="9"/>
  <c r="L32" i="9"/>
  <c r="V32" i="9" s="1"/>
  <c r="K32" i="9"/>
  <c r="J32" i="9"/>
  <c r="I32" i="9"/>
  <c r="U32" i="9" s="1"/>
  <c r="H32" i="9"/>
  <c r="G32" i="9"/>
  <c r="F32" i="9"/>
  <c r="T32" i="9" s="1"/>
  <c r="E32" i="9"/>
  <c r="D32" i="9"/>
  <c r="C32" i="9"/>
  <c r="P31" i="9"/>
  <c r="O31" i="9"/>
  <c r="N31" i="9"/>
  <c r="M31" i="9"/>
  <c r="L31" i="9"/>
  <c r="V31" i="9" s="1"/>
  <c r="K31" i="9"/>
  <c r="J31" i="9"/>
  <c r="I31" i="9"/>
  <c r="U31" i="9" s="1"/>
  <c r="H31" i="9"/>
  <c r="G31" i="9"/>
  <c r="F31" i="9"/>
  <c r="T31" i="9" s="1"/>
  <c r="E31" i="9"/>
  <c r="D31" i="9"/>
  <c r="C31" i="9"/>
  <c r="P30" i="9"/>
  <c r="O30" i="9"/>
  <c r="N30" i="9"/>
  <c r="M30" i="9"/>
  <c r="L30" i="9"/>
  <c r="V30" i="9" s="1"/>
  <c r="K30" i="9"/>
  <c r="J30" i="9"/>
  <c r="I30" i="9"/>
  <c r="H30" i="9"/>
  <c r="G30" i="9"/>
  <c r="F30" i="9"/>
  <c r="T30" i="9" s="1"/>
  <c r="E30" i="9"/>
  <c r="D30" i="9"/>
  <c r="C30" i="9"/>
  <c r="P29" i="9"/>
  <c r="O29" i="9"/>
  <c r="N29" i="9"/>
  <c r="M29" i="9"/>
  <c r="L29" i="9"/>
  <c r="V29" i="9" s="1"/>
  <c r="K29" i="9"/>
  <c r="J29" i="9"/>
  <c r="I29" i="9"/>
  <c r="X29" i="9" s="1"/>
  <c r="H29" i="9"/>
  <c r="G29" i="9"/>
  <c r="F29" i="9"/>
  <c r="E29" i="9"/>
  <c r="D29" i="9"/>
  <c r="C29" i="9"/>
  <c r="P28" i="9"/>
  <c r="O28" i="9"/>
  <c r="N28" i="9"/>
  <c r="M28" i="9"/>
  <c r="L28" i="9"/>
  <c r="V28" i="9" s="1"/>
  <c r="K28" i="9"/>
  <c r="J28" i="9"/>
  <c r="I28" i="9"/>
  <c r="U28" i="9" s="1"/>
  <c r="H28" i="9"/>
  <c r="G28" i="9"/>
  <c r="F28" i="9"/>
  <c r="E28" i="9"/>
  <c r="D28" i="9"/>
  <c r="C28" i="9"/>
  <c r="P27" i="9"/>
  <c r="O27" i="9"/>
  <c r="N27" i="9"/>
  <c r="M27" i="9"/>
  <c r="L27" i="9"/>
  <c r="V27" i="9" s="1"/>
  <c r="K27" i="9"/>
  <c r="J27" i="9"/>
  <c r="I27" i="9"/>
  <c r="X27" i="9" s="1"/>
  <c r="H27" i="9"/>
  <c r="G27" i="9"/>
  <c r="F27" i="9"/>
  <c r="E27" i="9"/>
  <c r="D27" i="9"/>
  <c r="C27" i="9"/>
  <c r="P26" i="9"/>
  <c r="O26" i="9"/>
  <c r="N26" i="9"/>
  <c r="M26" i="9"/>
  <c r="L26" i="9"/>
  <c r="V26" i="9" s="1"/>
  <c r="K26" i="9"/>
  <c r="J26" i="9"/>
  <c r="I26" i="9"/>
  <c r="X26" i="9" s="1"/>
  <c r="H26" i="9"/>
  <c r="G26" i="9"/>
  <c r="F26" i="9"/>
  <c r="T26" i="9" s="1"/>
  <c r="E26" i="9"/>
  <c r="D26" i="9"/>
  <c r="C26" i="9"/>
  <c r="P25" i="9"/>
  <c r="O25" i="9"/>
  <c r="N25" i="9"/>
  <c r="M25" i="9"/>
  <c r="L25" i="9"/>
  <c r="V25" i="9" s="1"/>
  <c r="K25" i="9"/>
  <c r="J25" i="9"/>
  <c r="I25" i="9"/>
  <c r="U25" i="9" s="1"/>
  <c r="H25" i="9"/>
  <c r="G25" i="9"/>
  <c r="F25" i="9"/>
  <c r="E25" i="9"/>
  <c r="D25" i="9"/>
  <c r="C25" i="9"/>
  <c r="P24" i="9"/>
  <c r="O24" i="9"/>
  <c r="N24" i="9"/>
  <c r="M24" i="9"/>
  <c r="L24" i="9"/>
  <c r="V24" i="9" s="1"/>
  <c r="K24" i="9"/>
  <c r="J24" i="9"/>
  <c r="I24" i="9"/>
  <c r="U24" i="9" s="1"/>
  <c r="H24" i="9"/>
  <c r="G24" i="9"/>
  <c r="F24" i="9"/>
  <c r="T24" i="9" s="1"/>
  <c r="E24" i="9"/>
  <c r="D24" i="9"/>
  <c r="C24" i="9"/>
  <c r="P23" i="9"/>
  <c r="O23" i="9"/>
  <c r="N23" i="9"/>
  <c r="M23" i="9"/>
  <c r="L23" i="9"/>
  <c r="V23" i="9" s="1"/>
  <c r="K23" i="9"/>
  <c r="J23" i="9"/>
  <c r="I23" i="9"/>
  <c r="U23" i="9" s="1"/>
  <c r="H23" i="9"/>
  <c r="G23" i="9"/>
  <c r="F23" i="9"/>
  <c r="T23" i="9" s="1"/>
  <c r="E23" i="9"/>
  <c r="D23" i="9"/>
  <c r="C23" i="9"/>
  <c r="P22" i="9"/>
  <c r="O22" i="9"/>
  <c r="N22" i="9"/>
  <c r="M22" i="9"/>
  <c r="L22" i="9"/>
  <c r="V22" i="9" s="1"/>
  <c r="K22" i="9"/>
  <c r="J22" i="9"/>
  <c r="I22" i="9"/>
  <c r="H22" i="9"/>
  <c r="G22" i="9"/>
  <c r="F22" i="9"/>
  <c r="T22" i="9" s="1"/>
  <c r="E22" i="9"/>
  <c r="D22" i="9"/>
  <c r="C22" i="9"/>
  <c r="P21" i="9"/>
  <c r="O21" i="9"/>
  <c r="N21" i="9"/>
  <c r="M21" i="9"/>
  <c r="L21" i="9"/>
  <c r="V21" i="9" s="1"/>
  <c r="K21" i="9"/>
  <c r="J21" i="9"/>
  <c r="I21" i="9"/>
  <c r="X21" i="9" s="1"/>
  <c r="H21" i="9"/>
  <c r="G21" i="9"/>
  <c r="F21" i="9"/>
  <c r="E21" i="9"/>
  <c r="D21" i="9"/>
  <c r="C21" i="9"/>
  <c r="P20" i="9"/>
  <c r="O20" i="9"/>
  <c r="N20" i="9"/>
  <c r="M20" i="9"/>
  <c r="L20" i="9"/>
  <c r="V20" i="9" s="1"/>
  <c r="K20" i="9"/>
  <c r="J20" i="9"/>
  <c r="I20" i="9"/>
  <c r="U20" i="9" s="1"/>
  <c r="H20" i="9"/>
  <c r="G20" i="9"/>
  <c r="F20" i="9"/>
  <c r="E20" i="9"/>
  <c r="D20" i="9"/>
  <c r="C20" i="9"/>
  <c r="P19" i="9"/>
  <c r="O19" i="9"/>
  <c r="N19" i="9"/>
  <c r="M19" i="9"/>
  <c r="L19" i="9"/>
  <c r="V19" i="9" s="1"/>
  <c r="K19" i="9"/>
  <c r="J19" i="9"/>
  <c r="I19" i="9"/>
  <c r="X19" i="9" s="1"/>
  <c r="H19" i="9"/>
  <c r="G19" i="9"/>
  <c r="F19" i="9"/>
  <c r="E19" i="9"/>
  <c r="D19" i="9"/>
  <c r="C19" i="9"/>
  <c r="P18" i="9"/>
  <c r="O18" i="9"/>
  <c r="N18" i="9"/>
  <c r="M18" i="9"/>
  <c r="L18" i="9"/>
  <c r="V18" i="9" s="1"/>
  <c r="K18" i="9"/>
  <c r="J18" i="9"/>
  <c r="I18" i="9"/>
  <c r="H18" i="9"/>
  <c r="G18" i="9"/>
  <c r="F18" i="9"/>
  <c r="T18" i="9" s="1"/>
  <c r="E18" i="9"/>
  <c r="D18" i="9"/>
  <c r="C18" i="9"/>
  <c r="P17" i="9"/>
  <c r="O17" i="9"/>
  <c r="N17" i="9"/>
  <c r="M17" i="9"/>
  <c r="L17" i="9"/>
  <c r="V17" i="9" s="1"/>
  <c r="K17" i="9"/>
  <c r="J17" i="9"/>
  <c r="I17" i="9"/>
  <c r="U17" i="9" s="1"/>
  <c r="H17" i="9"/>
  <c r="G17" i="9"/>
  <c r="F17" i="9"/>
  <c r="E17" i="9"/>
  <c r="D17" i="9"/>
  <c r="C17" i="9"/>
  <c r="P16" i="9"/>
  <c r="O16" i="9"/>
  <c r="N16" i="9"/>
  <c r="M16" i="9"/>
  <c r="L16" i="9"/>
  <c r="V16" i="9" s="1"/>
  <c r="K16" i="9"/>
  <c r="J16" i="9"/>
  <c r="I16" i="9"/>
  <c r="U16" i="9" s="1"/>
  <c r="H16" i="9"/>
  <c r="G16" i="9"/>
  <c r="F16" i="9"/>
  <c r="T16" i="9" s="1"/>
  <c r="E16" i="9"/>
  <c r="D16" i="9"/>
  <c r="C16" i="9"/>
  <c r="P15" i="9"/>
  <c r="O15" i="9"/>
  <c r="N15" i="9"/>
  <c r="M15" i="9"/>
  <c r="L15" i="9"/>
  <c r="V15" i="9" s="1"/>
  <c r="K15" i="9"/>
  <c r="J15" i="9"/>
  <c r="I15" i="9"/>
  <c r="U15" i="9" s="1"/>
  <c r="H15" i="9"/>
  <c r="G15" i="9"/>
  <c r="F15" i="9"/>
  <c r="T15" i="9" s="1"/>
  <c r="E15" i="9"/>
  <c r="D15" i="9"/>
  <c r="C15" i="9"/>
  <c r="P14" i="9"/>
  <c r="O14" i="9"/>
  <c r="N14" i="9"/>
  <c r="M14" i="9"/>
  <c r="L14" i="9"/>
  <c r="V14" i="9" s="1"/>
  <c r="K14" i="9"/>
  <c r="J14" i="9"/>
  <c r="I14" i="9"/>
  <c r="H14" i="9"/>
  <c r="G14" i="9"/>
  <c r="F14" i="9"/>
  <c r="T14" i="9" s="1"/>
  <c r="E14" i="9"/>
  <c r="D14" i="9"/>
  <c r="C14" i="9"/>
  <c r="P13" i="9"/>
  <c r="O13" i="9"/>
  <c r="N13" i="9"/>
  <c r="M13" i="9"/>
  <c r="L13" i="9"/>
  <c r="V13" i="9" s="1"/>
  <c r="K13" i="9"/>
  <c r="J13" i="9"/>
  <c r="I13" i="9"/>
  <c r="X13" i="9" s="1"/>
  <c r="H13" i="9"/>
  <c r="G13" i="9"/>
  <c r="F13" i="9"/>
  <c r="E13" i="9"/>
  <c r="D13" i="9"/>
  <c r="C13" i="9"/>
  <c r="D11" i="5"/>
  <c r="C11" i="5"/>
  <c r="Q181" i="7"/>
  <c r="W181" i="7" s="1"/>
  <c r="Q180" i="7"/>
  <c r="Q179" i="7"/>
  <c r="W179" i="7" s="1"/>
  <c r="Q178" i="7"/>
  <c r="Q177" i="7"/>
  <c r="W177" i="7" s="1"/>
  <c r="Q176" i="7"/>
  <c r="Q175" i="7"/>
  <c r="W175" i="7" s="1"/>
  <c r="Q174" i="7"/>
  <c r="W174" i="7" s="1"/>
  <c r="Q173" i="7"/>
  <c r="W173" i="7" s="1"/>
  <c r="Q172" i="7"/>
  <c r="Q171" i="7"/>
  <c r="R171" i="7" s="1"/>
  <c r="W171" i="7" s="1"/>
  <c r="Z171" i="7" s="1"/>
  <c r="Q170" i="7"/>
  <c r="R170" i="7" s="1"/>
  <c r="W170" i="7" s="1"/>
  <c r="Q169" i="7"/>
  <c r="R169" i="7" s="1"/>
  <c r="W169" i="7" s="1"/>
  <c r="X169" i="7" s="1"/>
  <c r="Q168" i="7"/>
  <c r="R168" i="7" s="1"/>
  <c r="W168" i="7" s="1"/>
  <c r="Q167" i="7"/>
  <c r="R167" i="7" s="1"/>
  <c r="W167" i="7" s="1"/>
  <c r="Y167" i="7" s="1"/>
  <c r="Q166" i="7"/>
  <c r="R166" i="7" s="1"/>
  <c r="W166" i="7" s="1"/>
  <c r="Q163" i="7"/>
  <c r="R163" i="7" s="1"/>
  <c r="W163" i="7" s="1"/>
  <c r="Z163" i="7" s="1"/>
  <c r="Q161" i="7"/>
  <c r="Q160" i="7"/>
  <c r="W160" i="7" s="1"/>
  <c r="Q159" i="7"/>
  <c r="Q158" i="7"/>
  <c r="W158" i="7" s="1"/>
  <c r="Q157" i="7"/>
  <c r="Q156" i="7"/>
  <c r="W156" i="7" s="1"/>
  <c r="Q155" i="7"/>
  <c r="W155" i="7" s="1"/>
  <c r="Q154" i="7"/>
  <c r="W154" i="7" s="1"/>
  <c r="Q153" i="7"/>
  <c r="Q152" i="7"/>
  <c r="W152" i="7" s="1"/>
  <c r="Q151" i="7"/>
  <c r="W151" i="7" s="1"/>
  <c r="Q150" i="7"/>
  <c r="W150" i="7" s="1"/>
  <c r="Q149" i="7"/>
  <c r="W149" i="7" s="1"/>
  <c r="Q148" i="7"/>
  <c r="W148" i="7" s="1"/>
  <c r="Q147" i="7"/>
  <c r="W147" i="7" s="1"/>
  <c r="Q146" i="7"/>
  <c r="Q145" i="7"/>
  <c r="W145" i="7" s="1"/>
  <c r="Q144" i="7"/>
  <c r="Q143" i="7"/>
  <c r="W143" i="7" s="1"/>
  <c r="Q142" i="7"/>
  <c r="W142" i="7" s="1"/>
  <c r="Q141" i="7"/>
  <c r="Q140" i="7"/>
  <c r="W140" i="7" s="1"/>
  <c r="Q139" i="7"/>
  <c r="W139" i="7" s="1"/>
  <c r="Q138" i="7"/>
  <c r="W138" i="7" s="1"/>
  <c r="Z138" i="7" s="1"/>
  <c r="Q137" i="7"/>
  <c r="W137" i="7" s="1"/>
  <c r="Q136" i="7"/>
  <c r="W136" i="7" s="1"/>
  <c r="Q135" i="7"/>
  <c r="W135" i="7" s="1"/>
  <c r="Q134" i="7"/>
  <c r="W134" i="7" s="1"/>
  <c r="X134" i="7" s="1"/>
  <c r="Q133" i="7"/>
  <c r="W133" i="7" s="1"/>
  <c r="Q132" i="7"/>
  <c r="W132" i="7" s="1"/>
  <c r="Q131" i="7"/>
  <c r="Q130" i="7"/>
  <c r="W130" i="7" s="1"/>
  <c r="Q129" i="7"/>
  <c r="Q128" i="7"/>
  <c r="W128" i="7" s="1"/>
  <c r="X128" i="7" s="1"/>
  <c r="Q127" i="7"/>
  <c r="Q126" i="7"/>
  <c r="W126" i="7" s="1"/>
  <c r="X126" i="7" s="1"/>
  <c r="Q125" i="7"/>
  <c r="W125" i="7" s="1"/>
  <c r="Q124" i="7"/>
  <c r="W124" i="7" s="1"/>
  <c r="Q122" i="7"/>
  <c r="W122" i="7" s="1"/>
  <c r="Q121" i="7"/>
  <c r="W121" i="7" s="1"/>
  <c r="Q120" i="7"/>
  <c r="W120" i="7" s="1"/>
  <c r="Q119" i="7"/>
  <c r="W119" i="7" s="1"/>
  <c r="Q118" i="7"/>
  <c r="W118" i="7" s="1"/>
  <c r="Q117" i="7"/>
  <c r="W117" i="7" s="1"/>
  <c r="Q116" i="7"/>
  <c r="W116" i="7" s="1"/>
  <c r="Q115" i="7"/>
  <c r="W115" i="7" s="1"/>
  <c r="Q114" i="7"/>
  <c r="Q113" i="7"/>
  <c r="W113" i="7" s="1"/>
  <c r="Q112" i="7"/>
  <c r="W112" i="7" s="1"/>
  <c r="Q111" i="7"/>
  <c r="Q109" i="7"/>
  <c r="Q107" i="7"/>
  <c r="Q106" i="7"/>
  <c r="W106" i="7" s="1"/>
  <c r="Q105" i="7"/>
  <c r="Q104" i="7"/>
  <c r="Q102" i="7"/>
  <c r="Q101" i="7"/>
  <c r="Q100" i="7"/>
  <c r="W100" i="7" s="1"/>
  <c r="Q99" i="7"/>
  <c r="W99" i="7" s="1"/>
  <c r="Q98" i="7"/>
  <c r="W98" i="7" s="1"/>
  <c r="Q95" i="7"/>
  <c r="W95" i="7" s="1"/>
  <c r="Q97" i="7"/>
  <c r="W97" i="7" s="1"/>
  <c r="Q110" i="7"/>
  <c r="Q94" i="7"/>
  <c r="Q93" i="7"/>
  <c r="Q92" i="7"/>
  <c r="W92" i="7" s="1"/>
  <c r="Q91" i="7"/>
  <c r="Q90" i="7"/>
  <c r="Q89" i="7"/>
  <c r="Q88" i="7"/>
  <c r="Q87" i="7"/>
  <c r="Q86" i="7"/>
  <c r="Q85" i="7"/>
  <c r="Q84" i="7"/>
  <c r="W84" i="7" s="1"/>
  <c r="Q83" i="7"/>
  <c r="Q82" i="7"/>
  <c r="W82" i="7" s="1"/>
  <c r="Q81" i="7"/>
  <c r="W81" i="7" s="1"/>
  <c r="Q80" i="7"/>
  <c r="Q79" i="7"/>
  <c r="W79" i="7" s="1"/>
  <c r="Q78" i="7"/>
  <c r="Q77" i="7"/>
  <c r="Q76" i="7"/>
  <c r="Q75" i="7"/>
  <c r="Q74" i="7"/>
  <c r="U74" i="7" s="1"/>
  <c r="Q73" i="7"/>
  <c r="R73" i="7" s="1"/>
  <c r="W73" i="7" s="1"/>
  <c r="Q72" i="7"/>
  <c r="R72" i="7" s="1"/>
  <c r="W72" i="7" s="1"/>
  <c r="X72" i="7" s="1"/>
  <c r="Q71" i="7"/>
  <c r="R71" i="7" s="1"/>
  <c r="W71" i="7" s="1"/>
  <c r="X71" i="7" s="1"/>
  <c r="Q70" i="7"/>
  <c r="S70" i="7" s="1"/>
  <c r="Q69" i="7"/>
  <c r="U69" i="7" s="1"/>
  <c r="Q66" i="7"/>
  <c r="W66" i="7" s="1"/>
  <c r="Q67" i="7"/>
  <c r="Q65" i="7"/>
  <c r="Q68" i="7"/>
  <c r="W68" i="7" s="1"/>
  <c r="Q63" i="7"/>
  <c r="W63" i="7" s="1"/>
  <c r="Q62" i="7"/>
  <c r="Q61" i="7"/>
  <c r="Q60" i="7"/>
  <c r="Q59" i="7"/>
  <c r="Q58" i="7"/>
  <c r="W58" i="7" s="1"/>
  <c r="Q57" i="7"/>
  <c r="W57" i="7" s="1"/>
  <c r="Q56" i="7"/>
  <c r="Q55" i="7"/>
  <c r="Q54" i="7"/>
  <c r="Q53" i="7"/>
  <c r="W53" i="7" s="1"/>
  <c r="Q52" i="7"/>
  <c r="Q51" i="7"/>
  <c r="Q50" i="7"/>
  <c r="Q49" i="7"/>
  <c r="Q48" i="7"/>
  <c r="Q47" i="7"/>
  <c r="Q46" i="7"/>
  <c r="Q44" i="7"/>
  <c r="Q45" i="7"/>
  <c r="Q43" i="7"/>
  <c r="Q42" i="7"/>
  <c r="Q41" i="7"/>
  <c r="W41" i="7" s="1"/>
  <c r="Q40" i="7"/>
  <c r="Q39" i="7"/>
  <c r="W39" i="7" s="1"/>
  <c r="Q38" i="7"/>
  <c r="W38" i="7" s="1"/>
  <c r="Q37" i="7"/>
  <c r="W37" i="7" s="1"/>
  <c r="Q36" i="7"/>
  <c r="Q35" i="7"/>
  <c r="W35" i="7" s="1"/>
  <c r="Q34" i="7"/>
  <c r="W34" i="7" s="1"/>
  <c r="Q33" i="7"/>
  <c r="Q32" i="7"/>
  <c r="W32" i="7" s="1"/>
  <c r="Q31" i="7"/>
  <c r="Q30" i="7"/>
  <c r="W30" i="7" s="1"/>
  <c r="Q29" i="7"/>
  <c r="W29" i="7" s="1"/>
  <c r="Q28" i="7"/>
  <c r="Q27" i="7"/>
  <c r="Q26" i="7"/>
  <c r="Q25" i="7"/>
  <c r="Q24" i="7"/>
  <c r="Q23" i="7"/>
  <c r="Q22" i="7"/>
  <c r="Q21" i="7"/>
  <c r="Q20" i="7"/>
  <c r="Q19" i="7"/>
  <c r="Q18" i="7"/>
  <c r="Q17" i="7"/>
  <c r="Q16" i="7"/>
  <c r="Q15" i="7"/>
  <c r="Q14" i="7"/>
  <c r="Q13" i="7"/>
  <c r="Q12" i="7"/>
  <c r="M6" i="7"/>
  <c r="M2" i="7"/>
  <c r="G2" i="7"/>
  <c r="R125" i="9" l="1"/>
  <c r="R127" i="9"/>
  <c r="R129" i="9"/>
  <c r="R131" i="9"/>
  <c r="R132" i="9"/>
  <c r="R189" i="9"/>
  <c r="R199" i="9"/>
  <c r="R41" i="9"/>
  <c r="R44" i="9"/>
  <c r="R109" i="9"/>
  <c r="R111" i="9"/>
  <c r="R183" i="9"/>
  <c r="R207" i="9"/>
  <c r="R22" i="9"/>
  <c r="R65" i="9"/>
  <c r="R68" i="9"/>
  <c r="R69" i="9"/>
  <c r="R73" i="9"/>
  <c r="R76" i="9"/>
  <c r="R93" i="9"/>
  <c r="R101" i="9"/>
  <c r="R105" i="9"/>
  <c r="R107" i="9"/>
  <c r="R108" i="9"/>
  <c r="R113" i="9"/>
  <c r="R115" i="9"/>
  <c r="R116" i="9"/>
  <c r="R117" i="9"/>
  <c r="R119" i="9"/>
  <c r="R121" i="9"/>
  <c r="R123" i="9"/>
  <c r="R124" i="9"/>
  <c r="R37" i="9"/>
  <c r="R54" i="9"/>
  <c r="R21" i="9"/>
  <c r="R25" i="9"/>
  <c r="R28" i="9"/>
  <c r="R38" i="9"/>
  <c r="R53" i="9"/>
  <c r="R57" i="9"/>
  <c r="R60" i="9"/>
  <c r="R78" i="9"/>
  <c r="R86" i="9"/>
  <c r="R94" i="9"/>
  <c r="R158" i="9"/>
  <c r="R166" i="9"/>
  <c r="R174" i="9"/>
  <c r="R190" i="9"/>
  <c r="U13" i="9"/>
  <c r="X20" i="9"/>
  <c r="U29" i="9"/>
  <c r="X36" i="9"/>
  <c r="U45" i="9"/>
  <c r="X52" i="9"/>
  <c r="U61" i="9"/>
  <c r="X92" i="9"/>
  <c r="X100" i="9"/>
  <c r="R133" i="9"/>
  <c r="R135" i="9"/>
  <c r="R137" i="9"/>
  <c r="R139" i="9"/>
  <c r="R140" i="9"/>
  <c r="R141" i="9"/>
  <c r="R143" i="9"/>
  <c r="R145" i="9"/>
  <c r="R147" i="9"/>
  <c r="R148" i="9"/>
  <c r="R149" i="9"/>
  <c r="R151" i="9"/>
  <c r="R153" i="9"/>
  <c r="R155" i="9"/>
  <c r="R156" i="9"/>
  <c r="R157" i="9"/>
  <c r="R164" i="9"/>
  <c r="R165" i="9"/>
  <c r="R172" i="9"/>
  <c r="R173" i="9"/>
  <c r="U183" i="9"/>
  <c r="R185" i="9"/>
  <c r="R187" i="9"/>
  <c r="R188" i="9"/>
  <c r="U189" i="9"/>
  <c r="X199" i="9"/>
  <c r="R13" i="9"/>
  <c r="R14" i="9"/>
  <c r="R17" i="9"/>
  <c r="R20" i="9"/>
  <c r="U21" i="9"/>
  <c r="X28" i="9"/>
  <c r="R29" i="9"/>
  <c r="R30" i="9"/>
  <c r="R33" i="9"/>
  <c r="R36" i="9"/>
  <c r="U37" i="9"/>
  <c r="X44" i="9"/>
  <c r="R45" i="9"/>
  <c r="R46" i="9"/>
  <c r="R48" i="9"/>
  <c r="R49" i="9"/>
  <c r="R52" i="9"/>
  <c r="U53" i="9"/>
  <c r="X60" i="9"/>
  <c r="R61" i="9"/>
  <c r="R62" i="9"/>
  <c r="R70" i="9"/>
  <c r="R72" i="9"/>
  <c r="X76" i="9"/>
  <c r="R77" i="9"/>
  <c r="R81" i="9"/>
  <c r="R84" i="9"/>
  <c r="R85" i="9"/>
  <c r="R89" i="9"/>
  <c r="R92" i="9"/>
  <c r="U93" i="9"/>
  <c r="R97" i="9"/>
  <c r="R100" i="9"/>
  <c r="R102" i="9"/>
  <c r="X188" i="9"/>
  <c r="T13" i="9"/>
  <c r="X14" i="9"/>
  <c r="R15" i="9"/>
  <c r="X15" i="9"/>
  <c r="R18" i="9"/>
  <c r="U18" i="9"/>
  <c r="R19" i="9"/>
  <c r="T21" i="9"/>
  <c r="X22" i="9"/>
  <c r="R23" i="9"/>
  <c r="X23" i="9"/>
  <c r="U26" i="9"/>
  <c r="R27" i="9"/>
  <c r="T29" i="9"/>
  <c r="X30" i="9"/>
  <c r="R31" i="9"/>
  <c r="X31" i="9"/>
  <c r="R34" i="9"/>
  <c r="U34" i="9"/>
  <c r="R35" i="9"/>
  <c r="T37" i="9"/>
  <c r="X38" i="9"/>
  <c r="R39" i="9"/>
  <c r="X39" i="9"/>
  <c r="U42" i="9"/>
  <c r="R43" i="9"/>
  <c r="T45" i="9"/>
  <c r="X46" i="9"/>
  <c r="R47" i="9"/>
  <c r="X47" i="9"/>
  <c r="U50" i="9"/>
  <c r="R51" i="9"/>
  <c r="T53" i="9"/>
  <c r="X54" i="9"/>
  <c r="R55" i="9"/>
  <c r="X55" i="9"/>
  <c r="U58" i="9"/>
  <c r="R59" i="9"/>
  <c r="T61" i="9"/>
  <c r="X62" i="9"/>
  <c r="R63" i="9"/>
  <c r="X63" i="9"/>
  <c r="R66" i="9"/>
  <c r="U66" i="9"/>
  <c r="R67" i="9"/>
  <c r="U68" i="9"/>
  <c r="T69" i="9"/>
  <c r="X69" i="9"/>
  <c r="X70" i="9"/>
  <c r="R71" i="9"/>
  <c r="X71" i="9"/>
  <c r="U74" i="9"/>
  <c r="R75" i="9"/>
  <c r="T77" i="9"/>
  <c r="X77" i="9"/>
  <c r="X78" i="9"/>
  <c r="R79" i="9"/>
  <c r="X79" i="9"/>
  <c r="U82" i="9"/>
  <c r="R83" i="9"/>
  <c r="U84" i="9"/>
  <c r="T85" i="9"/>
  <c r="X85" i="9"/>
  <c r="X86" i="9"/>
  <c r="R87" i="9"/>
  <c r="X87" i="9"/>
  <c r="R90" i="9"/>
  <c r="U90" i="9"/>
  <c r="R91" i="9"/>
  <c r="T93" i="9"/>
  <c r="X94" i="9"/>
  <c r="R95" i="9"/>
  <c r="X95" i="9"/>
  <c r="R98" i="9"/>
  <c r="U98" i="9"/>
  <c r="R99" i="9"/>
  <c r="T101" i="9"/>
  <c r="X101" i="9"/>
  <c r="X102" i="9"/>
  <c r="R103" i="9"/>
  <c r="X103" i="9"/>
  <c r="U106" i="9"/>
  <c r="U108" i="9"/>
  <c r="T109" i="9"/>
  <c r="X109" i="9"/>
  <c r="X111" i="9"/>
  <c r="U114" i="9"/>
  <c r="U116" i="9"/>
  <c r="T117" i="9"/>
  <c r="X117" i="9"/>
  <c r="X119" i="9"/>
  <c r="U122" i="9"/>
  <c r="U124" i="9"/>
  <c r="T125" i="9"/>
  <c r="X125" i="9"/>
  <c r="X127" i="9"/>
  <c r="U132" i="9"/>
  <c r="T133" i="9"/>
  <c r="X133" i="9"/>
  <c r="X135" i="9"/>
  <c r="U140" i="9"/>
  <c r="T141" i="9"/>
  <c r="X141" i="9"/>
  <c r="X143" i="9"/>
  <c r="U148" i="9"/>
  <c r="T149" i="9"/>
  <c r="X149" i="9"/>
  <c r="U151" i="9"/>
  <c r="X156" i="9"/>
  <c r="U157" i="9"/>
  <c r="X159" i="9"/>
  <c r="U163" i="9"/>
  <c r="X164" i="9"/>
  <c r="U165" i="9"/>
  <c r="X167" i="9"/>
  <c r="U171" i="9"/>
  <c r="X172" i="9"/>
  <c r="U173" i="9"/>
  <c r="X175" i="9"/>
  <c r="U180" i="9"/>
  <c r="X181" i="9"/>
  <c r="X191" i="9"/>
  <c r="U196" i="9"/>
  <c r="X197" i="9"/>
  <c r="U204" i="9"/>
  <c r="X206" i="9"/>
  <c r="U212" i="9"/>
  <c r="U19" i="9"/>
  <c r="U27" i="9"/>
  <c r="U35" i="9"/>
  <c r="U43" i="9"/>
  <c r="U51" i="9"/>
  <c r="U59" i="9"/>
  <c r="U67" i="9"/>
  <c r="T71" i="9"/>
  <c r="U75" i="9"/>
  <c r="T79" i="9"/>
  <c r="U83" i="9"/>
  <c r="T87" i="9"/>
  <c r="U91" i="9"/>
  <c r="T95" i="9"/>
  <c r="U99" i="9"/>
  <c r="T103" i="9"/>
  <c r="U107" i="9"/>
  <c r="R110" i="9"/>
  <c r="T111" i="9"/>
  <c r="U115" i="9"/>
  <c r="R118" i="9"/>
  <c r="T119" i="9"/>
  <c r="U123" i="9"/>
  <c r="R126" i="9"/>
  <c r="T127" i="9"/>
  <c r="R134" i="9"/>
  <c r="T135" i="9"/>
  <c r="R142" i="9"/>
  <c r="T143" i="9"/>
  <c r="R150" i="9"/>
  <c r="T151" i="9"/>
  <c r="T157" i="9"/>
  <c r="X158" i="9"/>
  <c r="R159" i="9"/>
  <c r="R161" i="9"/>
  <c r="R163" i="9"/>
  <c r="T165" i="9"/>
  <c r="X166" i="9"/>
  <c r="R167" i="9"/>
  <c r="R169" i="9"/>
  <c r="R171" i="9"/>
  <c r="T173" i="9"/>
  <c r="X174" i="9"/>
  <c r="R175" i="9"/>
  <c r="R177" i="9"/>
  <c r="R179" i="9"/>
  <c r="R180" i="9"/>
  <c r="R181" i="9"/>
  <c r="R182" i="9"/>
  <c r="T183" i="9"/>
  <c r="T189" i="9"/>
  <c r="X190" i="9"/>
  <c r="R191" i="9"/>
  <c r="R193" i="9"/>
  <c r="R195" i="9"/>
  <c r="R196" i="9"/>
  <c r="R197" i="9"/>
  <c r="R198" i="9"/>
  <c r="T199" i="9"/>
  <c r="R201" i="9"/>
  <c r="R203" i="9"/>
  <c r="R204" i="9"/>
  <c r="R205" i="9"/>
  <c r="U205" i="9"/>
  <c r="R206" i="9"/>
  <c r="T207" i="9"/>
  <c r="R209" i="9"/>
  <c r="R211" i="9"/>
  <c r="R212" i="9"/>
  <c r="AA108" i="7"/>
  <c r="AC108" i="7" s="1"/>
  <c r="AA96" i="7"/>
  <c r="AB96" i="7" s="1"/>
  <c r="I96" i="7" s="1"/>
  <c r="V123" i="7"/>
  <c r="W76" i="7"/>
  <c r="V103" i="7"/>
  <c r="W33" i="7"/>
  <c r="W44" i="7"/>
  <c r="W50" i="7"/>
  <c r="V94" i="7"/>
  <c r="AA149" i="7"/>
  <c r="W157" i="7"/>
  <c r="X167" i="7"/>
  <c r="AA167" i="7" s="1"/>
  <c r="W176" i="7"/>
  <c r="T74" i="7"/>
  <c r="W16" i="7"/>
  <c r="W52" i="7"/>
  <c r="W59" i="7"/>
  <c r="V62" i="7"/>
  <c r="W65" i="7"/>
  <c r="R74" i="7"/>
  <c r="W74" i="7" s="1"/>
  <c r="Z74" i="7" s="1"/>
  <c r="V78" i="7"/>
  <c r="W127" i="7"/>
  <c r="W141" i="7"/>
  <c r="W153" i="7"/>
  <c r="V15" i="7"/>
  <c r="V24" i="7"/>
  <c r="V14" i="7"/>
  <c r="V18" i="7"/>
  <c r="V22" i="7"/>
  <c r="V89" i="7"/>
  <c r="W12" i="7"/>
  <c r="W14" i="7"/>
  <c r="W15" i="7"/>
  <c r="V16" i="7"/>
  <c r="W18" i="7"/>
  <c r="W22" i="7"/>
  <c r="W24" i="7"/>
  <c r="W36" i="7"/>
  <c r="W40" i="7"/>
  <c r="W43" i="7"/>
  <c r="W45" i="7"/>
  <c r="W47" i="7"/>
  <c r="W49" i="7"/>
  <c r="W51" i="7"/>
  <c r="S74" i="7"/>
  <c r="V86" i="7"/>
  <c r="W89" i="7"/>
  <c r="AA115" i="7"/>
  <c r="W42" i="7"/>
  <c r="AA143" i="7"/>
  <c r="V20" i="7"/>
  <c r="W31" i="7"/>
  <c r="W46" i="7"/>
  <c r="W54" i="7"/>
  <c r="W60" i="7"/>
  <c r="W75" i="7"/>
  <c r="W88" i="7"/>
  <c r="V13" i="7"/>
  <c r="V17" i="7"/>
  <c r="V26" i="7"/>
  <c r="Z128" i="7"/>
  <c r="W13" i="7"/>
  <c r="W17" i="7"/>
  <c r="W19" i="7"/>
  <c r="W26" i="7"/>
  <c r="W48" i="7"/>
  <c r="W67" i="7"/>
  <c r="S71" i="7"/>
  <c r="W83" i="7"/>
  <c r="S166" i="7"/>
  <c r="W172" i="7"/>
  <c r="W20" i="7"/>
  <c r="T71" i="7"/>
  <c r="Z134" i="7"/>
  <c r="V21" i="7"/>
  <c r="V23" i="7"/>
  <c r="V25" i="7"/>
  <c r="V65" i="7"/>
  <c r="V85" i="7"/>
  <c r="V88" i="7"/>
  <c r="V93" i="7"/>
  <c r="AA134" i="7"/>
  <c r="V12" i="7"/>
  <c r="V19" i="7"/>
  <c r="W21" i="7"/>
  <c r="W23" i="7"/>
  <c r="W25" i="7"/>
  <c r="W85" i="7"/>
  <c r="V90" i="7"/>
  <c r="W93" i="7"/>
  <c r="AA177" i="7"/>
  <c r="R32" i="9"/>
  <c r="R88" i="9"/>
  <c r="R120" i="9"/>
  <c r="R152" i="9"/>
  <c r="U154" i="9"/>
  <c r="R160" i="9"/>
  <c r="U162" i="9"/>
  <c r="R168" i="9"/>
  <c r="U170" i="9"/>
  <c r="R176" i="9"/>
  <c r="U178" i="9"/>
  <c r="R184" i="9"/>
  <c r="U186" i="9"/>
  <c r="R192" i="9"/>
  <c r="U194" i="9"/>
  <c r="R200" i="9"/>
  <c r="U202" i="9"/>
  <c r="R208" i="9"/>
  <c r="U210" i="9"/>
  <c r="R24" i="9"/>
  <c r="R96" i="9"/>
  <c r="R104" i="9"/>
  <c r="R112" i="9"/>
  <c r="R128" i="9"/>
  <c r="U130" i="9"/>
  <c r="R136" i="9"/>
  <c r="U138" i="9"/>
  <c r="R144" i="9"/>
  <c r="U146" i="9"/>
  <c r="AA117" i="7"/>
  <c r="AA158" i="7"/>
  <c r="X17" i="9"/>
  <c r="X25" i="9"/>
  <c r="X33" i="9"/>
  <c r="X41" i="9"/>
  <c r="X49" i="9"/>
  <c r="X57" i="9"/>
  <c r="X65" i="9"/>
  <c r="X73" i="9"/>
  <c r="X81" i="9"/>
  <c r="X89" i="9"/>
  <c r="X97" i="9"/>
  <c r="X105" i="9"/>
  <c r="X113" i="9"/>
  <c r="X121" i="9"/>
  <c r="X129" i="9"/>
  <c r="X137" i="9"/>
  <c r="X145" i="9"/>
  <c r="X153" i="9"/>
  <c r="X161" i="9"/>
  <c r="X169" i="9"/>
  <c r="X177" i="9"/>
  <c r="X185" i="9"/>
  <c r="X193" i="9"/>
  <c r="X201" i="9"/>
  <c r="U207" i="9"/>
  <c r="X209" i="9"/>
  <c r="R42" i="9"/>
  <c r="R50" i="9"/>
  <c r="R58" i="9"/>
  <c r="R146" i="9"/>
  <c r="R170" i="9"/>
  <c r="R178" i="9"/>
  <c r="R186" i="9"/>
  <c r="R194" i="9"/>
  <c r="R202" i="9"/>
  <c r="R210" i="9"/>
  <c r="R16" i="9"/>
  <c r="R26" i="9"/>
  <c r="R114" i="9"/>
  <c r="R122" i="9"/>
  <c r="R138" i="9"/>
  <c r="R154" i="9"/>
  <c r="R162" i="9"/>
  <c r="AA41" i="7"/>
  <c r="AA128" i="7"/>
  <c r="T20" i="9"/>
  <c r="T28" i="9"/>
  <c r="T36" i="9"/>
  <c r="T44" i="9"/>
  <c r="T52" i="9"/>
  <c r="T60" i="9"/>
  <c r="T68" i="9"/>
  <c r="T76" i="9"/>
  <c r="T84" i="9"/>
  <c r="T92" i="9"/>
  <c r="T100" i="9"/>
  <c r="T108" i="9"/>
  <c r="T116" i="9"/>
  <c r="T124" i="9"/>
  <c r="X131" i="9"/>
  <c r="T132" i="9"/>
  <c r="X139" i="9"/>
  <c r="T140" i="9"/>
  <c r="X147" i="9"/>
  <c r="T148" i="9"/>
  <c r="X155" i="9"/>
  <c r="T156" i="9"/>
  <c r="T164" i="9"/>
  <c r="T172" i="9"/>
  <c r="X179" i="9"/>
  <c r="T180" i="9"/>
  <c r="X187" i="9"/>
  <c r="T188" i="9"/>
  <c r="X195" i="9"/>
  <c r="T196" i="9"/>
  <c r="X203" i="9"/>
  <c r="T204" i="9"/>
  <c r="X211" i="9"/>
  <c r="T212" i="9"/>
  <c r="R64" i="9"/>
  <c r="R130" i="9"/>
  <c r="Z132" i="7"/>
  <c r="U14" i="9"/>
  <c r="X16" i="9"/>
  <c r="T17" i="9"/>
  <c r="U22" i="9"/>
  <c r="X24" i="9"/>
  <c r="T25" i="9"/>
  <c r="U30" i="9"/>
  <c r="X32" i="9"/>
  <c r="T33" i="9"/>
  <c r="U38" i="9"/>
  <c r="X40" i="9"/>
  <c r="T41" i="9"/>
  <c r="U46" i="9"/>
  <c r="X48" i="9"/>
  <c r="T49" i="9"/>
  <c r="U54" i="9"/>
  <c r="X56" i="9"/>
  <c r="T57" i="9"/>
  <c r="U62" i="9"/>
  <c r="X64" i="9"/>
  <c r="T65" i="9"/>
  <c r="U70" i="9"/>
  <c r="X72" i="9"/>
  <c r="T73" i="9"/>
  <c r="U78" i="9"/>
  <c r="X80" i="9"/>
  <c r="T81" i="9"/>
  <c r="U86" i="9"/>
  <c r="X88" i="9"/>
  <c r="T89" i="9"/>
  <c r="U94" i="9"/>
  <c r="X96" i="9"/>
  <c r="T97" i="9"/>
  <c r="U102" i="9"/>
  <c r="X104" i="9"/>
  <c r="T105" i="9"/>
  <c r="U110" i="9"/>
  <c r="X112" i="9"/>
  <c r="T113" i="9"/>
  <c r="U118" i="9"/>
  <c r="X120" i="9"/>
  <c r="T121" i="9"/>
  <c r="U126" i="9"/>
  <c r="X128" i="9"/>
  <c r="T129" i="9"/>
  <c r="U134" i="9"/>
  <c r="X136" i="9"/>
  <c r="T137" i="9"/>
  <c r="U142" i="9"/>
  <c r="X144" i="9"/>
  <c r="T145" i="9"/>
  <c r="U150" i="9"/>
  <c r="X152" i="9"/>
  <c r="T153" i="9"/>
  <c r="U158" i="9"/>
  <c r="X160" i="9"/>
  <c r="T161" i="9"/>
  <c r="U166" i="9"/>
  <c r="X168" i="9"/>
  <c r="T169" i="9"/>
  <c r="U174" i="9"/>
  <c r="X176" i="9"/>
  <c r="T177" i="9"/>
  <c r="U182" i="9"/>
  <c r="X184" i="9"/>
  <c r="T185" i="9"/>
  <c r="U190" i="9"/>
  <c r="X192" i="9"/>
  <c r="T193" i="9"/>
  <c r="U198" i="9"/>
  <c r="X200" i="9"/>
  <c r="T201" i="9"/>
  <c r="X208" i="9"/>
  <c r="T209" i="9"/>
  <c r="R56" i="9"/>
  <c r="R82" i="9"/>
  <c r="R106" i="9"/>
  <c r="T206" i="9"/>
  <c r="R40" i="9"/>
  <c r="R80" i="9"/>
  <c r="R74" i="9"/>
  <c r="X18" i="9"/>
  <c r="T19" i="9"/>
  <c r="T27" i="9"/>
  <c r="X34" i="9"/>
  <c r="T35" i="9"/>
  <c r="T43" i="9"/>
  <c r="U48" i="9"/>
  <c r="T51" i="9"/>
  <c r="T59" i="9"/>
  <c r="X66" i="9"/>
  <c r="T67" i="9"/>
  <c r="U72" i="9"/>
  <c r="T75" i="9"/>
  <c r="T83" i="9"/>
  <c r="X90" i="9"/>
  <c r="T91" i="9"/>
  <c r="X98" i="9"/>
  <c r="T99" i="9"/>
  <c r="T107" i="9"/>
  <c r="T115" i="9"/>
  <c r="T123" i="9"/>
  <c r="T131" i="9"/>
  <c r="T139" i="9"/>
  <c r="T147" i="9"/>
  <c r="T155" i="9"/>
  <c r="T163" i="9"/>
  <c r="T171" i="9"/>
  <c r="T179" i="9"/>
  <c r="T187" i="9"/>
  <c r="T195" i="9"/>
  <c r="T203" i="9"/>
  <c r="T211" i="9"/>
  <c r="Y171" i="7"/>
  <c r="X171" i="7"/>
  <c r="Z136" i="7"/>
  <c r="X136" i="7"/>
  <c r="AA121" i="7"/>
  <c r="Z169" i="7"/>
  <c r="Y169" i="7"/>
  <c r="AA169" i="7" s="1"/>
  <c r="Y163" i="7"/>
  <c r="X163" i="7"/>
  <c r="X132" i="7"/>
  <c r="AA132" i="7" s="1"/>
  <c r="X138" i="7"/>
  <c r="Z167" i="7"/>
  <c r="Y72" i="7"/>
  <c r="AA72" i="7" s="1"/>
  <c r="Z72" i="7"/>
  <c r="W77" i="7"/>
  <c r="AA32" i="7"/>
  <c r="AA30" i="7"/>
  <c r="W80" i="7"/>
  <c r="W27" i="7"/>
  <c r="W55" i="7"/>
  <c r="W28" i="7"/>
  <c r="X73" i="7"/>
  <c r="Y73" i="7"/>
  <c r="Z73" i="7"/>
  <c r="Z130" i="7"/>
  <c r="U70" i="7"/>
  <c r="R70" i="7"/>
  <c r="W70" i="7" s="1"/>
  <c r="S73" i="7"/>
  <c r="AA179" i="7"/>
  <c r="X125" i="7"/>
  <c r="Z125" i="7"/>
  <c r="AA53" i="7"/>
  <c r="W87" i="7"/>
  <c r="W91" i="7"/>
  <c r="W110" i="7"/>
  <c r="AA181" i="7"/>
  <c r="R69" i="7"/>
  <c r="W69" i="7" s="1"/>
  <c r="S69" i="7"/>
  <c r="T69" i="7"/>
  <c r="S72" i="7"/>
  <c r="T72" i="7"/>
  <c r="U72" i="7"/>
  <c r="X168" i="7"/>
  <c r="Y168" i="7"/>
  <c r="Z168" i="7"/>
  <c r="W94" i="7"/>
  <c r="W107" i="7"/>
  <c r="T135" i="7"/>
  <c r="X137" i="7"/>
  <c r="Z137" i="7"/>
  <c r="T168" i="7"/>
  <c r="U168" i="7"/>
  <c r="S168" i="7"/>
  <c r="X170" i="7"/>
  <c r="Y170" i="7"/>
  <c r="Z170" i="7"/>
  <c r="W178" i="7"/>
  <c r="V101" i="7"/>
  <c r="W101" i="7"/>
  <c r="V114" i="7"/>
  <c r="W114" i="7"/>
  <c r="T131" i="7"/>
  <c r="V131" i="7" s="1"/>
  <c r="W131" i="7"/>
  <c r="T137" i="7"/>
  <c r="V146" i="7"/>
  <c r="W146" i="7"/>
  <c r="V161" i="7"/>
  <c r="W161" i="7"/>
  <c r="T170" i="7"/>
  <c r="U170" i="7"/>
  <c r="S170" i="7"/>
  <c r="Z126" i="7"/>
  <c r="W56" i="7"/>
  <c r="W104" i="7"/>
  <c r="X135" i="7"/>
  <c r="Z135" i="7"/>
  <c r="W159" i="7"/>
  <c r="W62" i="7"/>
  <c r="W61" i="7"/>
  <c r="Y71" i="7"/>
  <c r="AA71" i="7" s="1"/>
  <c r="Z71" i="7"/>
  <c r="W78" i="7"/>
  <c r="X124" i="7"/>
  <c r="Z124" i="7"/>
  <c r="X133" i="7"/>
  <c r="Z133" i="7"/>
  <c r="X166" i="7"/>
  <c r="Y166" i="7"/>
  <c r="Z166" i="7"/>
  <c r="V180" i="7"/>
  <c r="W180" i="7"/>
  <c r="U73" i="7"/>
  <c r="AA126" i="7"/>
  <c r="AA142" i="7"/>
  <c r="AA156" i="7"/>
  <c r="T129" i="7"/>
  <c r="W129" i="7"/>
  <c r="W144" i="7"/>
  <c r="W86" i="7"/>
  <c r="W90" i="7"/>
  <c r="W102" i="7"/>
  <c r="W111" i="7"/>
  <c r="T70" i="7"/>
  <c r="V70" i="7" s="1"/>
  <c r="T73" i="7"/>
  <c r="X130" i="7"/>
  <c r="AA175" i="7"/>
  <c r="W109" i="7"/>
  <c r="T125" i="7"/>
  <c r="V141" i="7"/>
  <c r="V60" i="7"/>
  <c r="U71" i="7"/>
  <c r="V76" i="7"/>
  <c r="T127" i="7"/>
  <c r="V127" i="7" s="1"/>
  <c r="V157" i="7"/>
  <c r="V176" i="7"/>
  <c r="W105" i="7"/>
  <c r="T133" i="7"/>
  <c r="T166" i="7"/>
  <c r="U166" i="7"/>
  <c r="V153" i="7"/>
  <c r="V172" i="7"/>
  <c r="V31" i="7"/>
  <c r="V33" i="7"/>
  <c r="V36" i="7"/>
  <c r="V40" i="7"/>
  <c r="V43" i="7"/>
  <c r="V44" i="7"/>
  <c r="V47" i="7"/>
  <c r="V49" i="7"/>
  <c r="V51" i="7"/>
  <c r="V54" i="7"/>
  <c r="V83" i="7"/>
  <c r="S163" i="7"/>
  <c r="S167" i="7"/>
  <c r="S169" i="7"/>
  <c r="S171" i="7"/>
  <c r="T124" i="7"/>
  <c r="T126" i="7"/>
  <c r="T128" i="7"/>
  <c r="T130" i="7"/>
  <c r="T132" i="7"/>
  <c r="T134" i="7"/>
  <c r="T136" i="7"/>
  <c r="T138" i="7"/>
  <c r="T163" i="7"/>
  <c r="U163" i="7"/>
  <c r="T167" i="7"/>
  <c r="U167" i="7"/>
  <c r="T169" i="7"/>
  <c r="U169" i="7"/>
  <c r="T171" i="7"/>
  <c r="U171" i="7"/>
  <c r="AA157" i="7" l="1"/>
  <c r="AD157" i="7" s="1"/>
  <c r="AA76" i="7"/>
  <c r="AC76" i="7" s="1"/>
  <c r="AA42" i="7"/>
  <c r="V82" i="7"/>
  <c r="AA176" i="7"/>
  <c r="AB176" i="7" s="1"/>
  <c r="I176" i="7" s="1"/>
  <c r="J176" i="7" s="1"/>
  <c r="M176" i="7" s="1"/>
  <c r="P176" i="7" s="1"/>
  <c r="AA171" i="7"/>
  <c r="AA33" i="7"/>
  <c r="AB33" i="7" s="1"/>
  <c r="I33" i="7" s="1"/>
  <c r="J33" i="7" s="1"/>
  <c r="AA52" i="7"/>
  <c r="AA44" i="7"/>
  <c r="AB44" i="7" s="1"/>
  <c r="I44" i="7" s="1"/>
  <c r="Y74" i="7"/>
  <c r="V74" i="7"/>
  <c r="AA82" i="7"/>
  <c r="V63" i="7"/>
  <c r="AB108" i="7"/>
  <c r="I108" i="7" s="1"/>
  <c r="J108" i="7" s="1"/>
  <c r="M108" i="7" s="1"/>
  <c r="P108" i="7" s="1"/>
  <c r="AE108" i="7"/>
  <c r="AD108" i="7"/>
  <c r="J96" i="7"/>
  <c r="AD96" i="7"/>
  <c r="AC96" i="7"/>
  <c r="AE96" i="7"/>
  <c r="AA93" i="7"/>
  <c r="AB93" i="7" s="1"/>
  <c r="I93" i="7" s="1"/>
  <c r="X127" i="7"/>
  <c r="AA127" i="7" s="1"/>
  <c r="AD127" i="7" s="1"/>
  <c r="AA153" i="7"/>
  <c r="AD153" i="7" s="1"/>
  <c r="Z127" i="7"/>
  <c r="AA18" i="7"/>
  <c r="AC18" i="7" s="1"/>
  <c r="AA49" i="7"/>
  <c r="AC49" i="7" s="1"/>
  <c r="V45" i="7"/>
  <c r="V32" i="7"/>
  <c r="AC32" i="7" s="1"/>
  <c r="AA59" i="7"/>
  <c r="AA51" i="7"/>
  <c r="AB51" i="7" s="1"/>
  <c r="I51" i="7" s="1"/>
  <c r="J51" i="7" s="1"/>
  <c r="M51" i="7" s="1"/>
  <c r="P51" i="7" s="1"/>
  <c r="AA45" i="7"/>
  <c r="AA40" i="7"/>
  <c r="AD40" i="7" s="1"/>
  <c r="AA14" i="7"/>
  <c r="AA22" i="7"/>
  <c r="AA17" i="7"/>
  <c r="AA15" i="7"/>
  <c r="AC15" i="7" s="1"/>
  <c r="V92" i="7"/>
  <c r="V133" i="7"/>
  <c r="AA48" i="7"/>
  <c r="AA26" i="7"/>
  <c r="V53" i="7"/>
  <c r="AC53" i="7" s="1"/>
  <c r="AA172" i="7"/>
  <c r="AC172" i="7" s="1"/>
  <c r="V66" i="7"/>
  <c r="V155" i="7"/>
  <c r="AA36" i="7"/>
  <c r="AB36" i="7" s="1"/>
  <c r="I36" i="7" s="1"/>
  <c r="AA47" i="7"/>
  <c r="AA23" i="7"/>
  <c r="AC23" i="7" s="1"/>
  <c r="V67" i="7"/>
  <c r="V52" i="7"/>
  <c r="V50" i="7"/>
  <c r="V48" i="7"/>
  <c r="V42" i="7"/>
  <c r="V34" i="7"/>
  <c r="V148" i="7"/>
  <c r="AA60" i="7"/>
  <c r="AC60" i="7" s="1"/>
  <c r="AA31" i="7"/>
  <c r="AA19" i="7"/>
  <c r="AD19" i="7" s="1"/>
  <c r="AA16" i="7"/>
  <c r="V59" i="7"/>
  <c r="V122" i="7"/>
  <c r="V166" i="7"/>
  <c r="AA145" i="7"/>
  <c r="V81" i="7"/>
  <c r="V29" i="7"/>
  <c r="AA89" i="7"/>
  <c r="AB89" i="7" s="1"/>
  <c r="I89" i="7" s="1"/>
  <c r="AA141" i="7"/>
  <c r="AA151" i="7"/>
  <c r="AA24" i="7"/>
  <c r="AC24" i="7" s="1"/>
  <c r="AA12" i="7"/>
  <c r="V58" i="7"/>
  <c r="V79" i="7"/>
  <c r="V75" i="7"/>
  <c r="V116" i="7"/>
  <c r="V100" i="7"/>
  <c r="AA130" i="7"/>
  <c r="AA50" i="7"/>
  <c r="AA43" i="7"/>
  <c r="AB43" i="7" s="1"/>
  <c r="I43" i="7" s="1"/>
  <c r="X74" i="7"/>
  <c r="V71" i="7"/>
  <c r="AC71" i="7" s="1"/>
  <c r="V84" i="7"/>
  <c r="AA123" i="7"/>
  <c r="AB123" i="7" s="1"/>
  <c r="I123" i="7" s="1"/>
  <c r="AA103" i="7"/>
  <c r="AB103" i="7" s="1"/>
  <c r="I103" i="7" s="1"/>
  <c r="AA148" i="7"/>
  <c r="AA163" i="7"/>
  <c r="AA170" i="7"/>
  <c r="AA168" i="7"/>
  <c r="AA97" i="7"/>
  <c r="V139" i="7"/>
  <c r="V95" i="7"/>
  <c r="AA85" i="7"/>
  <c r="AC85" i="7" s="1"/>
  <c r="AA25" i="7"/>
  <c r="AB25" i="7" s="1"/>
  <c r="I25" i="7" s="1"/>
  <c r="J25" i="7" s="1"/>
  <c r="V30" i="7"/>
  <c r="AC30" i="7" s="1"/>
  <c r="AA88" i="7"/>
  <c r="AC88" i="7" s="1"/>
  <c r="V159" i="7"/>
  <c r="V35" i="7"/>
  <c r="V145" i="7"/>
  <c r="V113" i="7"/>
  <c r="V37" i="7"/>
  <c r="AA54" i="7"/>
  <c r="AC54" i="7" s="1"/>
  <c r="V46" i="7"/>
  <c r="V38" i="7"/>
  <c r="V174" i="7"/>
  <c r="AA116" i="7"/>
  <c r="AA66" i="7"/>
  <c r="V69" i="7"/>
  <c r="AA13" i="7"/>
  <c r="AC13" i="7" s="1"/>
  <c r="V109" i="7"/>
  <c r="AA73" i="7"/>
  <c r="V80" i="7"/>
  <c r="AA138" i="7"/>
  <c r="V56" i="7"/>
  <c r="V39" i="7"/>
  <c r="V77" i="7"/>
  <c r="V125" i="7"/>
  <c r="AA160" i="7"/>
  <c r="V152" i="7"/>
  <c r="V99" i="7"/>
  <c r="AA21" i="7"/>
  <c r="AC21" i="7" s="1"/>
  <c r="AA106" i="7"/>
  <c r="V97" i="7"/>
  <c r="V41" i="7"/>
  <c r="AD41" i="7" s="1"/>
  <c r="V106" i="7"/>
  <c r="V178" i="7"/>
  <c r="AA139" i="7"/>
  <c r="AA155" i="7"/>
  <c r="V87" i="7"/>
  <c r="AA29" i="7"/>
  <c r="AA58" i="7"/>
  <c r="AA122" i="7"/>
  <c r="AA166" i="7"/>
  <c r="V175" i="7"/>
  <c r="AE175" i="7" s="1"/>
  <c r="V156" i="7"/>
  <c r="AE156" i="7" s="1"/>
  <c r="V142" i="7"/>
  <c r="AE142" i="7" s="1"/>
  <c r="V126" i="7"/>
  <c r="AE126" i="7" s="1"/>
  <c r="AA95" i="7"/>
  <c r="AA174" i="7"/>
  <c r="AA84" i="7"/>
  <c r="V173" i="7"/>
  <c r="V154" i="7"/>
  <c r="V140" i="7"/>
  <c r="V124" i="7"/>
  <c r="AA124" i="7"/>
  <c r="V61" i="7"/>
  <c r="AA120" i="7"/>
  <c r="AA147" i="7"/>
  <c r="V129" i="7"/>
  <c r="AA118" i="7"/>
  <c r="V170" i="7"/>
  <c r="V112" i="7"/>
  <c r="AA99" i="7"/>
  <c r="AA113" i="7"/>
  <c r="AA34" i="7"/>
  <c r="V104" i="7"/>
  <c r="V135" i="7"/>
  <c r="AA92" i="7"/>
  <c r="AA119" i="7"/>
  <c r="V28" i="7"/>
  <c r="V179" i="7"/>
  <c r="AC179" i="7" s="1"/>
  <c r="V160" i="7"/>
  <c r="V130" i="7"/>
  <c r="V150" i="7"/>
  <c r="AA35" i="7"/>
  <c r="AA37" i="7"/>
  <c r="V144" i="7"/>
  <c r="AA137" i="7"/>
  <c r="AA68" i="7"/>
  <c r="AA136" i="7"/>
  <c r="V177" i="7"/>
  <c r="AA38" i="7"/>
  <c r="V181" i="7"/>
  <c r="V163" i="7"/>
  <c r="V147" i="7"/>
  <c r="V132" i="7"/>
  <c r="V115" i="7"/>
  <c r="AA133" i="7"/>
  <c r="AA135" i="7"/>
  <c r="AA63" i="7"/>
  <c r="V137" i="7"/>
  <c r="AA152" i="7"/>
  <c r="V27" i="7"/>
  <c r="AA57" i="7"/>
  <c r="AA39" i="7"/>
  <c r="X69" i="7"/>
  <c r="Z69" i="7"/>
  <c r="Y69" i="7"/>
  <c r="X129" i="7"/>
  <c r="Z129" i="7"/>
  <c r="X131" i="7"/>
  <c r="Z131" i="7"/>
  <c r="V128" i="7"/>
  <c r="V167" i="7"/>
  <c r="V149" i="7"/>
  <c r="V134" i="7"/>
  <c r="V117" i="7"/>
  <c r="V105" i="7"/>
  <c r="V110" i="7"/>
  <c r="AA154" i="7"/>
  <c r="V68" i="7"/>
  <c r="V168" i="7"/>
  <c r="AA125" i="7"/>
  <c r="V143" i="7"/>
  <c r="V73" i="7"/>
  <c r="AA79" i="7"/>
  <c r="V169" i="7"/>
  <c r="V151" i="7"/>
  <c r="V136" i="7"/>
  <c r="V119" i="7"/>
  <c r="V111" i="7"/>
  <c r="V102" i="7"/>
  <c r="V98" i="7"/>
  <c r="V120" i="7"/>
  <c r="V107" i="7"/>
  <c r="V57" i="7"/>
  <c r="AA98" i="7"/>
  <c r="X70" i="7"/>
  <c r="Y70" i="7"/>
  <c r="Z70" i="7"/>
  <c r="V158" i="7"/>
  <c r="AA100" i="7"/>
  <c r="V171" i="7"/>
  <c r="V138" i="7"/>
  <c r="V121" i="7"/>
  <c r="AA173" i="7"/>
  <c r="V91" i="7"/>
  <c r="AA140" i="7"/>
  <c r="AA150" i="7"/>
  <c r="V118" i="7"/>
  <c r="AA112" i="7"/>
  <c r="V72" i="7"/>
  <c r="V55" i="7"/>
  <c r="AA81" i="7"/>
  <c r="AD53" i="7" l="1"/>
  <c r="AB42" i="7"/>
  <c r="I42" i="7" s="1"/>
  <c r="J42" i="7" s="1"/>
  <c r="M42" i="7" s="1"/>
  <c r="P42" i="7" s="1"/>
  <c r="AE53" i="7"/>
  <c r="AD32" i="7"/>
  <c r="AE52" i="7"/>
  <c r="AE130" i="7"/>
  <c r="AD106" i="7"/>
  <c r="AD52" i="7"/>
  <c r="AC89" i="7"/>
  <c r="AC40" i="7"/>
  <c r="AD18" i="7"/>
  <c r="AE93" i="7"/>
  <c r="AE81" i="7"/>
  <c r="AD93" i="7"/>
  <c r="AD34" i="7"/>
  <c r="AA74" i="7"/>
  <c r="AC74" i="7" s="1"/>
  <c r="AA67" i="7"/>
  <c r="AB67" i="7" s="1"/>
  <c r="I67" i="7" s="1"/>
  <c r="J67" i="7" s="1"/>
  <c r="M67" i="7" s="1"/>
  <c r="P67" i="7" s="1"/>
  <c r="AC82" i="7"/>
  <c r="AC93" i="7"/>
  <c r="AE85" i="7"/>
  <c r="AE22" i="7"/>
  <c r="AB32" i="7"/>
  <c r="I32" i="7" s="1"/>
  <c r="J32" i="7" s="1"/>
  <c r="M32" i="7" s="1"/>
  <c r="P32" i="7" s="1"/>
  <c r="AB82" i="7"/>
  <c r="I82" i="7" s="1"/>
  <c r="J82" i="7" s="1"/>
  <c r="M82" i="7" s="1"/>
  <c r="P82" i="7" s="1"/>
  <c r="AE32" i="7"/>
  <c r="AD82" i="7"/>
  <c r="AE82" i="7"/>
  <c r="AA75" i="7"/>
  <c r="AB75" i="7" s="1"/>
  <c r="I75" i="7" s="1"/>
  <c r="J75" i="7" s="1"/>
  <c r="M75" i="7" s="1"/>
  <c r="P75" i="7" s="1"/>
  <c r="AB18" i="7"/>
  <c r="I18" i="7" s="1"/>
  <c r="J18" i="7" s="1"/>
  <c r="M18" i="7" s="1"/>
  <c r="P18" i="7" s="1"/>
  <c r="AD13" i="7"/>
  <c r="AC52" i="7"/>
  <c r="AE18" i="7"/>
  <c r="N108" i="7"/>
  <c r="L108" i="7"/>
  <c r="O108" i="7"/>
  <c r="K108" i="7"/>
  <c r="N96" i="7"/>
  <c r="L96" i="7"/>
  <c r="O96" i="7"/>
  <c r="K96" i="7"/>
  <c r="M96" i="7"/>
  <c r="P96" i="7" s="1"/>
  <c r="AD97" i="7"/>
  <c r="AD116" i="7"/>
  <c r="AE26" i="7"/>
  <c r="AB126" i="7"/>
  <c r="I126" i="7" s="1"/>
  <c r="J126" i="7" s="1"/>
  <c r="M126" i="7" s="1"/>
  <c r="P126" i="7" s="1"/>
  <c r="AD15" i="7"/>
  <c r="AC29" i="7"/>
  <c r="AC141" i="7"/>
  <c r="AD141" i="7"/>
  <c r="AC16" i="7"/>
  <c r="AB16" i="7"/>
  <c r="I16" i="7" s="1"/>
  <c r="J16" i="7" s="1"/>
  <c r="AB15" i="7"/>
  <c r="I15" i="7" s="1"/>
  <c r="J15" i="7" s="1"/>
  <c r="AB49" i="7"/>
  <c r="I49" i="7" s="1"/>
  <c r="J49" i="7" s="1"/>
  <c r="AD42" i="7"/>
  <c r="AC51" i="7"/>
  <c r="L51" i="7" s="1"/>
  <c r="AD49" i="7"/>
  <c r="AD176" i="7"/>
  <c r="N176" i="7" s="1"/>
  <c r="AE35" i="7"/>
  <c r="AC176" i="7"/>
  <c r="L176" i="7" s="1"/>
  <c r="AC45" i="7"/>
  <c r="AD148" i="7"/>
  <c r="AA65" i="7"/>
  <c r="AC65" i="7" s="1"/>
  <c r="AB148" i="7"/>
  <c r="I148" i="7" s="1"/>
  <c r="J148" i="7" s="1"/>
  <c r="AE14" i="7"/>
  <c r="AB71" i="7"/>
  <c r="I71" i="7" s="1"/>
  <c r="J71" i="7" s="1"/>
  <c r="AC42" i="7"/>
  <c r="AD16" i="7"/>
  <c r="AD85" i="7"/>
  <c r="AE51" i="7"/>
  <c r="O51" i="7" s="1"/>
  <c r="AD51" i="7"/>
  <c r="N51" i="7" s="1"/>
  <c r="AD133" i="7"/>
  <c r="AB40" i="7"/>
  <c r="I40" i="7" s="1"/>
  <c r="J40" i="7" s="1"/>
  <c r="M40" i="7" s="1"/>
  <c r="P40" i="7" s="1"/>
  <c r="AB174" i="7"/>
  <c r="I174" i="7" s="1"/>
  <c r="J174" i="7" s="1"/>
  <c r="M174" i="7" s="1"/>
  <c r="P174" i="7" s="1"/>
  <c r="AE122" i="7"/>
  <c r="AC155" i="7"/>
  <c r="AB12" i="7"/>
  <c r="I12" i="7" s="1"/>
  <c r="J12" i="7" s="1"/>
  <c r="K12" i="7" s="1"/>
  <c r="AD12" i="7"/>
  <c r="AC116" i="7"/>
  <c r="AD145" i="7"/>
  <c r="AE40" i="7"/>
  <c r="AE49" i="7"/>
  <c r="AD29" i="7"/>
  <c r="AE154" i="7"/>
  <c r="AD38" i="7"/>
  <c r="AE45" i="7"/>
  <c r="AB13" i="7"/>
  <c r="I13" i="7" s="1"/>
  <c r="J13" i="7" s="1"/>
  <c r="AB116" i="7"/>
  <c r="I116" i="7" s="1"/>
  <c r="J116" i="7" s="1"/>
  <c r="M116" i="7" s="1"/>
  <c r="P116" i="7" s="1"/>
  <c r="AE176" i="7"/>
  <c r="O176" i="7" s="1"/>
  <c r="AE84" i="7"/>
  <c r="AE15" i="7"/>
  <c r="AB52" i="7"/>
  <c r="I52" i="7" s="1"/>
  <c r="J52" i="7" s="1"/>
  <c r="AE179" i="7"/>
  <c r="AD66" i="7"/>
  <c r="AC66" i="7"/>
  <c r="AB35" i="7"/>
  <c r="I35" i="7" s="1"/>
  <c r="J35" i="7" s="1"/>
  <c r="M35" i="7" s="1"/>
  <c r="P35" i="7" s="1"/>
  <c r="AE140" i="7"/>
  <c r="AE173" i="7"/>
  <c r="AC125" i="7"/>
  <c r="AD126" i="7"/>
  <c r="AB127" i="7"/>
  <c r="I127" i="7" s="1"/>
  <c r="J127" i="7" s="1"/>
  <c r="M127" i="7" s="1"/>
  <c r="P127" i="7" s="1"/>
  <c r="AE116" i="7"/>
  <c r="AB85" i="7"/>
  <c r="I85" i="7" s="1"/>
  <c r="J85" i="7" s="1"/>
  <c r="M85" i="7" s="1"/>
  <c r="P85" i="7" s="1"/>
  <c r="AD139" i="7"/>
  <c r="AB150" i="7"/>
  <c r="I150" i="7" s="1"/>
  <c r="J150" i="7" s="1"/>
  <c r="M150" i="7" s="1"/>
  <c r="P150" i="7" s="1"/>
  <c r="AC35" i="7"/>
  <c r="AB59" i="7"/>
  <c r="I59" i="7" s="1"/>
  <c r="J59" i="7" s="1"/>
  <c r="M59" i="7" s="1"/>
  <c r="P59" i="7" s="1"/>
  <c r="AA46" i="7"/>
  <c r="AB46" i="7" s="1"/>
  <c r="I46" i="7" s="1"/>
  <c r="J46" i="7" s="1"/>
  <c r="K46" i="7" s="1"/>
  <c r="AE31" i="7"/>
  <c r="AC31" i="7"/>
  <c r="AB47" i="7"/>
  <c r="I47" i="7" s="1"/>
  <c r="J47" i="7" s="1"/>
  <c r="AC47" i="7"/>
  <c r="AB112" i="7"/>
  <c r="I112" i="7" s="1"/>
  <c r="J112" i="7" s="1"/>
  <c r="M112" i="7" s="1"/>
  <c r="P112" i="7" s="1"/>
  <c r="AB97" i="7"/>
  <c r="I97" i="7" s="1"/>
  <c r="J97" i="7" s="1"/>
  <c r="M97" i="7" s="1"/>
  <c r="P97" i="7" s="1"/>
  <c r="AD88" i="7"/>
  <c r="AC48" i="7"/>
  <c r="AE97" i="7"/>
  <c r="AB88" i="7"/>
  <c r="I88" i="7" s="1"/>
  <c r="J88" i="7" s="1"/>
  <c r="AC122" i="7"/>
  <c r="AC12" i="7"/>
  <c r="AE54" i="7"/>
  <c r="AB53" i="7"/>
  <c r="I53" i="7" s="1"/>
  <c r="J53" i="7" s="1"/>
  <c r="AB141" i="7"/>
  <c r="I141" i="7" s="1"/>
  <c r="J141" i="7" s="1"/>
  <c r="M141" i="7" s="1"/>
  <c r="P141" i="7" s="1"/>
  <c r="AE71" i="7"/>
  <c r="AE148" i="7"/>
  <c r="AD99" i="7"/>
  <c r="AE170" i="7"/>
  <c r="AE13" i="7"/>
  <c r="AE59" i="7"/>
  <c r="AC148" i="7"/>
  <c r="AE16" i="7"/>
  <c r="AE42" i="7"/>
  <c r="AD95" i="7"/>
  <c r="AE89" i="7"/>
  <c r="AD59" i="7"/>
  <c r="AD50" i="7"/>
  <c r="AC50" i="7"/>
  <c r="AE88" i="7"/>
  <c r="AB100" i="7"/>
  <c r="I100" i="7" s="1"/>
  <c r="J100" i="7" s="1"/>
  <c r="M100" i="7" s="1"/>
  <c r="P100" i="7" s="1"/>
  <c r="AC97" i="7"/>
  <c r="AB66" i="7"/>
  <c r="I66" i="7" s="1"/>
  <c r="J66" i="7" s="1"/>
  <c r="M66" i="7" s="1"/>
  <c r="P66" i="7" s="1"/>
  <c r="AB29" i="7"/>
  <c r="I29" i="7" s="1"/>
  <c r="J29" i="7" s="1"/>
  <c r="AD122" i="7"/>
  <c r="AC156" i="7"/>
  <c r="AD156" i="7"/>
  <c r="AB19" i="7"/>
  <c r="I19" i="7" s="1"/>
  <c r="J19" i="7" s="1"/>
  <c r="AE12" i="7"/>
  <c r="AB54" i="7"/>
  <c r="I54" i="7" s="1"/>
  <c r="J54" i="7" s="1"/>
  <c r="AD54" i="7"/>
  <c r="AD89" i="7"/>
  <c r="AE141" i="7"/>
  <c r="AB156" i="7"/>
  <c r="I156" i="7" s="1"/>
  <c r="J156" i="7" s="1"/>
  <c r="O156" i="7" s="1"/>
  <c r="AE24" i="7"/>
  <c r="AD71" i="7"/>
  <c r="AD24" i="7"/>
  <c r="AC95" i="7"/>
  <c r="AB166" i="7"/>
  <c r="I166" i="7" s="1"/>
  <c r="J166" i="7" s="1"/>
  <c r="M166" i="7" s="1"/>
  <c r="P166" i="7" s="1"/>
  <c r="AB24" i="7"/>
  <c r="I24" i="7" s="1"/>
  <c r="J24" i="7" s="1"/>
  <c r="K24" i="7" s="1"/>
  <c r="AE58" i="7"/>
  <c r="AD58" i="7"/>
  <c r="AB130" i="7"/>
  <c r="I130" i="7" s="1"/>
  <c r="J130" i="7" s="1"/>
  <c r="M130" i="7" s="1"/>
  <c r="P130" i="7" s="1"/>
  <c r="AB179" i="7"/>
  <c r="I179" i="7" s="1"/>
  <c r="J179" i="7" s="1"/>
  <c r="M179" i="7" s="1"/>
  <c r="P179" i="7" s="1"/>
  <c r="AB95" i="7"/>
  <c r="I95" i="7" s="1"/>
  <c r="J95" i="7" s="1"/>
  <c r="M95" i="7" s="1"/>
  <c r="P95" i="7" s="1"/>
  <c r="AB50" i="7"/>
  <c r="I50" i="7" s="1"/>
  <c r="J50" i="7" s="1"/>
  <c r="M50" i="7" s="1"/>
  <c r="P50" i="7" s="1"/>
  <c r="J123" i="7"/>
  <c r="AD123" i="7"/>
  <c r="AC123" i="7"/>
  <c r="AE123" i="7"/>
  <c r="J103" i="7"/>
  <c r="AD103" i="7"/>
  <c r="AE103" i="7"/>
  <c r="AC103" i="7"/>
  <c r="AA78" i="7"/>
  <c r="AB78" i="7" s="1"/>
  <c r="I78" i="7" s="1"/>
  <c r="AA180" i="7"/>
  <c r="AB180" i="7" s="1"/>
  <c r="I180" i="7" s="1"/>
  <c r="J180" i="7" s="1"/>
  <c r="M180" i="7" s="1"/>
  <c r="P180" i="7" s="1"/>
  <c r="AC135" i="7"/>
  <c r="AB139" i="7"/>
  <c r="I139" i="7" s="1"/>
  <c r="J139" i="7" s="1"/>
  <c r="M139" i="7" s="1"/>
  <c r="P139" i="7" s="1"/>
  <c r="AA83" i="7"/>
  <c r="AD83" i="7" s="1"/>
  <c r="AA110" i="7"/>
  <c r="AC110" i="7" s="1"/>
  <c r="AA178" i="7"/>
  <c r="AC178" i="7" s="1"/>
  <c r="AE50" i="7"/>
  <c r="AB106" i="7"/>
  <c r="I106" i="7" s="1"/>
  <c r="J106" i="7" s="1"/>
  <c r="AD174" i="7"/>
  <c r="AE95" i="7"/>
  <c r="AB124" i="7"/>
  <c r="I124" i="7" s="1"/>
  <c r="J124" i="7" s="1"/>
  <c r="M124" i="7" s="1"/>
  <c r="P124" i="7" s="1"/>
  <c r="AD113" i="7"/>
  <c r="AE30" i="7"/>
  <c r="AB23" i="7"/>
  <c r="I23" i="7" s="1"/>
  <c r="J23" i="7" s="1"/>
  <c r="AA102" i="7"/>
  <c r="AB102" i="7" s="1"/>
  <c r="I102" i="7" s="1"/>
  <c r="AD45" i="7"/>
  <c r="AE41" i="7"/>
  <c r="AB122" i="7"/>
  <c r="I122" i="7" s="1"/>
  <c r="J122" i="7" s="1"/>
  <c r="M122" i="7" s="1"/>
  <c r="P122" i="7" s="1"/>
  <c r="AE66" i="7"/>
  <c r="AE25" i="7"/>
  <c r="O25" i="7" s="1"/>
  <c r="AD179" i="7"/>
  <c r="AB152" i="7"/>
  <c r="I152" i="7" s="1"/>
  <c r="J152" i="7" s="1"/>
  <c r="M152" i="7" s="1"/>
  <c r="P152" i="7" s="1"/>
  <c r="AD30" i="7"/>
  <c r="AD155" i="7"/>
  <c r="AC174" i="7"/>
  <c r="AE139" i="7"/>
  <c r="AB30" i="7"/>
  <c r="I30" i="7" s="1"/>
  <c r="J30" i="7" s="1"/>
  <c r="K30" i="7" s="1"/>
  <c r="AB155" i="7"/>
  <c r="I155" i="7" s="1"/>
  <c r="J155" i="7" s="1"/>
  <c r="AE155" i="7"/>
  <c r="AE19" i="7"/>
  <c r="AE23" i="7"/>
  <c r="AE174" i="7"/>
  <c r="AC106" i="7"/>
  <c r="AE145" i="7"/>
  <c r="AC19" i="7"/>
  <c r="AE99" i="7"/>
  <c r="AD23" i="7"/>
  <c r="AB145" i="7"/>
  <c r="I145" i="7" s="1"/>
  <c r="J145" i="7" s="1"/>
  <c r="M145" i="7" s="1"/>
  <c r="P145" i="7" s="1"/>
  <c r="AA101" i="7"/>
  <c r="AB101" i="7" s="1"/>
  <c r="I101" i="7" s="1"/>
  <c r="J101" i="7" s="1"/>
  <c r="M101" i="7" s="1"/>
  <c r="P101" i="7" s="1"/>
  <c r="AC59" i="7"/>
  <c r="AE37" i="7"/>
  <c r="AC160" i="7"/>
  <c r="AC145" i="7"/>
  <c r="AE106" i="7"/>
  <c r="AD39" i="7"/>
  <c r="AB58" i="7"/>
  <c r="I58" i="7" s="1"/>
  <c r="J58" i="7" s="1"/>
  <c r="AD47" i="7"/>
  <c r="AB41" i="7"/>
  <c r="I41" i="7" s="1"/>
  <c r="J41" i="7" s="1"/>
  <c r="M41" i="7" s="1"/>
  <c r="P41" i="7" s="1"/>
  <c r="AE21" i="7"/>
  <c r="AD26" i="7"/>
  <c r="AC58" i="7"/>
  <c r="AE47" i="7"/>
  <c r="AD142" i="7"/>
  <c r="AA129" i="7"/>
  <c r="AE129" i="7" s="1"/>
  <c r="AC139" i="7"/>
  <c r="AE135" i="7"/>
  <c r="AB31" i="7"/>
  <c r="I31" i="7" s="1"/>
  <c r="J31" i="7" s="1"/>
  <c r="M31" i="7" s="1"/>
  <c r="P31" i="7" s="1"/>
  <c r="AB113" i="7"/>
  <c r="I113" i="7" s="1"/>
  <c r="J113" i="7" s="1"/>
  <c r="M113" i="7" s="1"/>
  <c r="P113" i="7" s="1"/>
  <c r="AC126" i="7"/>
  <c r="AE39" i="7"/>
  <c r="AE34" i="7"/>
  <c r="AB142" i="7"/>
  <c r="I142" i="7" s="1"/>
  <c r="J142" i="7" s="1"/>
  <c r="O142" i="7" s="1"/>
  <c r="AA20" i="7"/>
  <c r="AB26" i="7"/>
  <c r="I26" i="7" s="1"/>
  <c r="J26" i="7" s="1"/>
  <c r="K26" i="7" s="1"/>
  <c r="AC26" i="7"/>
  <c r="AB99" i="7"/>
  <c r="I99" i="7" s="1"/>
  <c r="J99" i="7" s="1"/>
  <c r="AD21" i="7"/>
  <c r="AD25" i="7"/>
  <c r="N25" i="7" s="1"/>
  <c r="AD35" i="7"/>
  <c r="AC99" i="7"/>
  <c r="AA91" i="7"/>
  <c r="AE91" i="7" s="1"/>
  <c r="AD33" i="7"/>
  <c r="N33" i="7" s="1"/>
  <c r="AD31" i="7"/>
  <c r="AC41" i="7"/>
  <c r="AE113" i="7"/>
  <c r="AE29" i="7"/>
  <c r="AC142" i="7"/>
  <c r="AC25" i="7"/>
  <c r="L25" i="7" s="1"/>
  <c r="AC33" i="7"/>
  <c r="L33" i="7" s="1"/>
  <c r="AE33" i="7"/>
  <c r="O33" i="7" s="1"/>
  <c r="AB160" i="7"/>
  <c r="I160" i="7" s="1"/>
  <c r="J160" i="7" s="1"/>
  <c r="AA69" i="7"/>
  <c r="AB69" i="7" s="1"/>
  <c r="I69" i="7" s="1"/>
  <c r="J69" i="7" s="1"/>
  <c r="M69" i="7" s="1"/>
  <c r="P69" i="7" s="1"/>
  <c r="AD166" i="7"/>
  <c r="AB21" i="7"/>
  <c r="I21" i="7" s="1"/>
  <c r="J21" i="7" s="1"/>
  <c r="L21" i="7" s="1"/>
  <c r="AC170" i="7"/>
  <c r="AD160" i="7"/>
  <c r="AC44" i="7"/>
  <c r="AB45" i="7"/>
  <c r="I45" i="7" s="1"/>
  <c r="J45" i="7" s="1"/>
  <c r="AC157" i="7"/>
  <c r="AE166" i="7"/>
  <c r="AD170" i="7"/>
  <c r="AE157" i="7"/>
  <c r="AC175" i="7"/>
  <c r="AE17" i="7"/>
  <c r="AB17" i="7"/>
  <c r="I17" i="7" s="1"/>
  <c r="J17" i="7" s="1"/>
  <c r="K17" i="7" s="1"/>
  <c r="AD17" i="7"/>
  <c r="AC17" i="7"/>
  <c r="AB157" i="7"/>
  <c r="I157" i="7" s="1"/>
  <c r="J157" i="7" s="1"/>
  <c r="M157" i="7" s="1"/>
  <c r="P157" i="7" s="1"/>
  <c r="AC152" i="7"/>
  <c r="AD84" i="7"/>
  <c r="AB84" i="7"/>
  <c r="I84" i="7" s="1"/>
  <c r="J84" i="7" s="1"/>
  <c r="M84" i="7" s="1"/>
  <c r="P84" i="7" s="1"/>
  <c r="AD175" i="7"/>
  <c r="AC84" i="7"/>
  <c r="AA55" i="7"/>
  <c r="AD55" i="7" s="1"/>
  <c r="AA27" i="7"/>
  <c r="AD27" i="7" s="1"/>
  <c r="AB34" i="7"/>
  <c r="I34" i="7" s="1"/>
  <c r="J34" i="7" s="1"/>
  <c r="M34" i="7" s="1"/>
  <c r="P34" i="7" s="1"/>
  <c r="AC34" i="7"/>
  <c r="AC113" i="7"/>
  <c r="AB175" i="7"/>
  <c r="I175" i="7" s="1"/>
  <c r="J175" i="7" s="1"/>
  <c r="M175" i="7" s="1"/>
  <c r="P175" i="7" s="1"/>
  <c r="AC166" i="7"/>
  <c r="AA61" i="7"/>
  <c r="AD61" i="7" s="1"/>
  <c r="AD14" i="7"/>
  <c r="AC14" i="7"/>
  <c r="AB14" i="7"/>
  <c r="I14" i="7" s="1"/>
  <c r="AA56" i="7"/>
  <c r="AD56" i="7" s="1"/>
  <c r="AC124" i="7"/>
  <c r="AC37" i="7"/>
  <c r="AC127" i="7"/>
  <c r="AD92" i="7"/>
  <c r="AE92" i="7"/>
  <c r="AB22" i="7"/>
  <c r="I22" i="7" s="1"/>
  <c r="J22" i="7" s="1"/>
  <c r="K22" i="7" s="1"/>
  <c r="AD22" i="7"/>
  <c r="AB140" i="7"/>
  <c r="I140" i="7" s="1"/>
  <c r="J140" i="7" s="1"/>
  <c r="M140" i="7" s="1"/>
  <c r="P140" i="7" s="1"/>
  <c r="AD140" i="7"/>
  <c r="AB37" i="7"/>
  <c r="I37" i="7" s="1"/>
  <c r="J37" i="7" s="1"/>
  <c r="AE36" i="7"/>
  <c r="AE160" i="7"/>
  <c r="AA70" i="7"/>
  <c r="AD70" i="7" s="1"/>
  <c r="AB92" i="7"/>
  <c r="I92" i="7" s="1"/>
  <c r="J92" i="7" s="1"/>
  <c r="AB135" i="7"/>
  <c r="I135" i="7" s="1"/>
  <c r="J135" i="7" s="1"/>
  <c r="AB170" i="7"/>
  <c r="I170" i="7" s="1"/>
  <c r="J170" i="7" s="1"/>
  <c r="M170" i="7" s="1"/>
  <c r="P170" i="7" s="1"/>
  <c r="AA90" i="7"/>
  <c r="AB90" i="7" s="1"/>
  <c r="I90" i="7" s="1"/>
  <c r="J90" i="7" s="1"/>
  <c r="M90" i="7" s="1"/>
  <c r="P90" i="7" s="1"/>
  <c r="AB172" i="7"/>
  <c r="I172" i="7" s="1"/>
  <c r="J172" i="7" s="1"/>
  <c r="M172" i="7" s="1"/>
  <c r="P172" i="7" s="1"/>
  <c r="AD125" i="7"/>
  <c r="AD36" i="7"/>
  <c r="AE127" i="7"/>
  <c r="AD124" i="7"/>
  <c r="AE124" i="7"/>
  <c r="AA80" i="7"/>
  <c r="AE80" i="7" s="1"/>
  <c r="AC173" i="7"/>
  <c r="AA107" i="7"/>
  <c r="AE107" i="7" s="1"/>
  <c r="AC39" i="7"/>
  <c r="AB173" i="7"/>
  <c r="I173" i="7" s="1"/>
  <c r="J173" i="7" s="1"/>
  <c r="AD173" i="7"/>
  <c r="AD37" i="7"/>
  <c r="AC36" i="7"/>
  <c r="AC92" i="7"/>
  <c r="AA87" i="7"/>
  <c r="AC87" i="7" s="1"/>
  <c r="AE43" i="7"/>
  <c r="AA146" i="7"/>
  <c r="AE146" i="7" s="1"/>
  <c r="AA28" i="7"/>
  <c r="AD28" i="7" s="1"/>
  <c r="AB125" i="7"/>
  <c r="I125" i="7" s="1"/>
  <c r="J125" i="7" s="1"/>
  <c r="M125" i="7" s="1"/>
  <c r="P125" i="7" s="1"/>
  <c r="AC153" i="7"/>
  <c r="AC22" i="7"/>
  <c r="AC130" i="7"/>
  <c r="AD130" i="7"/>
  <c r="AB39" i="7"/>
  <c r="I39" i="7" s="1"/>
  <c r="J39" i="7" s="1"/>
  <c r="AC140" i="7"/>
  <c r="AA111" i="7"/>
  <c r="AB111" i="7" s="1"/>
  <c r="I111" i="7" s="1"/>
  <c r="AE48" i="7"/>
  <c r="AE153" i="7"/>
  <c r="J44" i="7"/>
  <c r="M44" i="7" s="1"/>
  <c r="P44" i="7" s="1"/>
  <c r="AC171" i="7"/>
  <c r="AE171" i="7"/>
  <c r="AB171" i="7"/>
  <c r="I171" i="7" s="1"/>
  <c r="AD171" i="7"/>
  <c r="J43" i="7"/>
  <c r="M43" i="7" s="1"/>
  <c r="P43" i="7" s="1"/>
  <c r="J36" i="7"/>
  <c r="M36" i="7" s="1"/>
  <c r="P36" i="7" s="1"/>
  <c r="AB168" i="7"/>
  <c r="I168" i="7" s="1"/>
  <c r="AD168" i="7"/>
  <c r="AC168" i="7"/>
  <c r="AE168" i="7"/>
  <c r="AC117" i="7"/>
  <c r="AE117" i="7"/>
  <c r="AD117" i="7"/>
  <c r="AB117" i="7"/>
  <c r="I117" i="7" s="1"/>
  <c r="K25" i="7"/>
  <c r="K176" i="7"/>
  <c r="AD72" i="7"/>
  <c r="AB72" i="7"/>
  <c r="I72" i="7" s="1"/>
  <c r="AE72" i="7"/>
  <c r="AC72" i="7"/>
  <c r="AC138" i="7"/>
  <c r="AD138" i="7"/>
  <c r="AB138" i="7"/>
  <c r="I138" i="7" s="1"/>
  <c r="AE138" i="7"/>
  <c r="AB57" i="7"/>
  <c r="I57" i="7" s="1"/>
  <c r="AD57" i="7"/>
  <c r="AC57" i="7"/>
  <c r="AE57" i="7"/>
  <c r="AC73" i="7"/>
  <c r="AD73" i="7"/>
  <c r="AE73" i="7"/>
  <c r="AB73" i="7"/>
  <c r="I73" i="7" s="1"/>
  <c r="AD100" i="7"/>
  <c r="AB76" i="7"/>
  <c r="I76" i="7" s="1"/>
  <c r="AC150" i="7"/>
  <c r="AB154" i="7"/>
  <c r="I154" i="7" s="1"/>
  <c r="AA114" i="7"/>
  <c r="AB60" i="7"/>
  <c r="I60" i="7" s="1"/>
  <c r="AA144" i="7"/>
  <c r="AE76" i="7"/>
  <c r="AE100" i="7"/>
  <c r="AA131" i="7"/>
  <c r="AD76" i="7"/>
  <c r="AA159" i="7"/>
  <c r="M25" i="7"/>
  <c r="P25" i="7" s="1"/>
  <c r="AA105" i="7"/>
  <c r="AD105" i="7" s="1"/>
  <c r="AD154" i="7"/>
  <c r="AE125" i="7"/>
  <c r="AE44" i="7"/>
  <c r="AB81" i="7"/>
  <c r="I81" i="7" s="1"/>
  <c r="AE60" i="7"/>
  <c r="AB153" i="7"/>
  <c r="I153" i="7" s="1"/>
  <c r="AC121" i="7"/>
  <c r="AB121" i="7"/>
  <c r="I121" i="7" s="1"/>
  <c r="AE121" i="7"/>
  <c r="AD121" i="7"/>
  <c r="AD163" i="7"/>
  <c r="AC163" i="7"/>
  <c r="AB163" i="7"/>
  <c r="I163" i="7" s="1"/>
  <c r="AE163" i="7"/>
  <c r="AB120" i="7"/>
  <c r="I120" i="7" s="1"/>
  <c r="AC120" i="7"/>
  <c r="AE120" i="7"/>
  <c r="AD120" i="7"/>
  <c r="AB151" i="7"/>
  <c r="I151" i="7" s="1"/>
  <c r="AD151" i="7"/>
  <c r="AE151" i="7"/>
  <c r="AC151" i="7"/>
  <c r="K51" i="7"/>
  <c r="AC68" i="7"/>
  <c r="AD68" i="7"/>
  <c r="AB68" i="7"/>
  <c r="I68" i="7" s="1"/>
  <c r="AE68" i="7"/>
  <c r="AD152" i="7"/>
  <c r="AE152" i="7"/>
  <c r="AD147" i="7"/>
  <c r="AB147" i="7"/>
  <c r="I147" i="7" s="1"/>
  <c r="AE147" i="7"/>
  <c r="AC147" i="7"/>
  <c r="J89" i="7"/>
  <c r="M89" i="7" s="1"/>
  <c r="P89" i="7" s="1"/>
  <c r="AD60" i="7"/>
  <c r="AB133" i="7"/>
  <c r="I133" i="7" s="1"/>
  <c r="AD44" i="7"/>
  <c r="AA94" i="7"/>
  <c r="AA109" i="7"/>
  <c r="AA86" i="7"/>
  <c r="AE38" i="7"/>
  <c r="AD48" i="7"/>
  <c r="AC133" i="7"/>
  <c r="AC118" i="7"/>
  <c r="AE118" i="7"/>
  <c r="AD118" i="7"/>
  <c r="AB118" i="7"/>
  <c r="I118" i="7" s="1"/>
  <c r="AC98" i="7"/>
  <c r="AE98" i="7"/>
  <c r="AD98" i="7"/>
  <c r="AB98" i="7"/>
  <c r="I98" i="7" s="1"/>
  <c r="AE134" i="7"/>
  <c r="AD134" i="7"/>
  <c r="AC134" i="7"/>
  <c r="AB134" i="7"/>
  <c r="I134" i="7" s="1"/>
  <c r="AB128" i="7"/>
  <c r="I128" i="7" s="1"/>
  <c r="AD128" i="7"/>
  <c r="AC128" i="7"/>
  <c r="AE128" i="7"/>
  <c r="AC167" i="7"/>
  <c r="AB167" i="7"/>
  <c r="I167" i="7" s="1"/>
  <c r="AE167" i="7"/>
  <c r="AD167" i="7"/>
  <c r="AD132" i="7"/>
  <c r="AB132" i="7"/>
  <c r="I132" i="7" s="1"/>
  <c r="AC132" i="7"/>
  <c r="AE132" i="7"/>
  <c r="K33" i="7"/>
  <c r="AE112" i="7"/>
  <c r="AB38" i="7"/>
  <c r="I38" i="7" s="1"/>
  <c r="AC81" i="7"/>
  <c r="AC38" i="7"/>
  <c r="AC154" i="7"/>
  <c r="AC112" i="7"/>
  <c r="AD81" i="7"/>
  <c r="AB48" i="7"/>
  <c r="I48" i="7" s="1"/>
  <c r="AE172" i="7"/>
  <c r="AD172" i="7"/>
  <c r="AB137" i="7"/>
  <c r="I137" i="7" s="1"/>
  <c r="AE137" i="7"/>
  <c r="AD137" i="7"/>
  <c r="AC137" i="7"/>
  <c r="AD181" i="7"/>
  <c r="AE181" i="7"/>
  <c r="AB181" i="7"/>
  <c r="I181" i="7" s="1"/>
  <c r="AC181" i="7"/>
  <c r="J93" i="7"/>
  <c r="AB169" i="7"/>
  <c r="I169" i="7" s="1"/>
  <c r="AD169" i="7"/>
  <c r="AC169" i="7"/>
  <c r="AE169" i="7"/>
  <c r="AB158" i="7"/>
  <c r="I158" i="7" s="1"/>
  <c r="AC158" i="7"/>
  <c r="AD158" i="7"/>
  <c r="AE158" i="7"/>
  <c r="AB136" i="7"/>
  <c r="I136" i="7" s="1"/>
  <c r="AD136" i="7"/>
  <c r="AC136" i="7"/>
  <c r="AE136" i="7"/>
  <c r="AC79" i="7"/>
  <c r="AB79" i="7"/>
  <c r="I79" i="7" s="1"/>
  <c r="AD79" i="7"/>
  <c r="AE79" i="7"/>
  <c r="AB143" i="7"/>
  <c r="I143" i="7" s="1"/>
  <c r="AC143" i="7"/>
  <c r="AE143" i="7"/>
  <c r="AD143" i="7"/>
  <c r="AD150" i="7"/>
  <c r="AE150" i="7"/>
  <c r="AB119" i="7"/>
  <c r="I119" i="7" s="1"/>
  <c r="AC119" i="7"/>
  <c r="AD119" i="7"/>
  <c r="AE119" i="7"/>
  <c r="AE149" i="7"/>
  <c r="AC149" i="7"/>
  <c r="AB149" i="7"/>
  <c r="I149" i="7" s="1"/>
  <c r="AD149" i="7"/>
  <c r="AE63" i="7"/>
  <c r="AD63" i="7"/>
  <c r="AB63" i="7"/>
  <c r="I63" i="7" s="1"/>
  <c r="AC63" i="7"/>
  <c r="AD115" i="7"/>
  <c r="AE115" i="7"/>
  <c r="AC115" i="7"/>
  <c r="AB115" i="7"/>
  <c r="I115" i="7" s="1"/>
  <c r="AB177" i="7"/>
  <c r="I177" i="7" s="1"/>
  <c r="AE177" i="7"/>
  <c r="AD177" i="7"/>
  <c r="AC177" i="7"/>
  <c r="AC100" i="7"/>
  <c r="AD112" i="7"/>
  <c r="AC43" i="7"/>
  <c r="AE133" i="7"/>
  <c r="AA161" i="7"/>
  <c r="AA77" i="7"/>
  <c r="AD43" i="7"/>
  <c r="AA104" i="7"/>
  <c r="AA62" i="7"/>
  <c r="AD135" i="7"/>
  <c r="M33" i="7"/>
  <c r="P33" i="7" s="1"/>
  <c r="N42" i="7" l="1"/>
  <c r="O42" i="7"/>
  <c r="L42" i="7"/>
  <c r="K42" i="7"/>
  <c r="AE74" i="7"/>
  <c r="AE75" i="7"/>
  <c r="O75" i="7" s="1"/>
  <c r="AD75" i="7"/>
  <c r="N75" i="7" s="1"/>
  <c r="AB74" i="7"/>
  <c r="I74" i="7" s="1"/>
  <c r="J74" i="7" s="1"/>
  <c r="M74" i="7" s="1"/>
  <c r="P74" i="7" s="1"/>
  <c r="AD74" i="7"/>
  <c r="L18" i="7"/>
  <c r="AC75" i="7"/>
  <c r="L75" i="7" s="1"/>
  <c r="AE65" i="7"/>
  <c r="N148" i="7"/>
  <c r="L156" i="7"/>
  <c r="O12" i="7"/>
  <c r="N18" i="7"/>
  <c r="AD67" i="7"/>
  <c r="N67" i="7" s="1"/>
  <c r="AE67" i="7"/>
  <c r="O67" i="7" s="1"/>
  <c r="AC67" i="7"/>
  <c r="L67" i="7" s="1"/>
  <c r="N155" i="7"/>
  <c r="O18" i="7"/>
  <c r="K18" i="7"/>
  <c r="O126" i="7"/>
  <c r="L126" i="7"/>
  <c r="N126" i="7"/>
  <c r="L52" i="7"/>
  <c r="K126" i="7"/>
  <c r="N52" i="7"/>
  <c r="L24" i="7"/>
  <c r="M46" i="7"/>
  <c r="P46" i="7" s="1"/>
  <c r="L85" i="7"/>
  <c r="AC46" i="7"/>
  <c r="L46" i="7" s="1"/>
  <c r="AD102" i="7"/>
  <c r="AC55" i="7"/>
  <c r="AB65" i="7"/>
  <c r="I65" i="7" s="1"/>
  <c r="AD65" i="7"/>
  <c r="L148" i="7"/>
  <c r="E7" i="7"/>
  <c r="K148" i="7"/>
  <c r="N24" i="7"/>
  <c r="O13" i="7"/>
  <c r="M148" i="7"/>
  <c r="P148" i="7" s="1"/>
  <c r="O148" i="7"/>
  <c r="L12" i="7"/>
  <c r="M12" i="7"/>
  <c r="P12" i="7" s="1"/>
  <c r="N85" i="7"/>
  <c r="N12" i="7"/>
  <c r="M52" i="7"/>
  <c r="P52" i="7" s="1"/>
  <c r="O52" i="7"/>
  <c r="K85" i="7"/>
  <c r="O85" i="7"/>
  <c r="K52" i="7"/>
  <c r="L155" i="7"/>
  <c r="AE180" i="7"/>
  <c r="O180" i="7" s="1"/>
  <c r="M156" i="7"/>
  <c r="P156" i="7" s="1"/>
  <c r="AD46" i="7"/>
  <c r="N46" i="7" s="1"/>
  <c r="AE46" i="7"/>
  <c r="O46" i="7" s="1"/>
  <c r="AE78" i="7"/>
  <c r="AE101" i="7"/>
  <c r="O101" i="7" s="1"/>
  <c r="AB56" i="7"/>
  <c r="I56" i="7" s="1"/>
  <c r="J56" i="7" s="1"/>
  <c r="AE55" i="7"/>
  <c r="K21" i="7"/>
  <c r="AB83" i="7"/>
  <c r="I83" i="7" s="1"/>
  <c r="J83" i="7" s="1"/>
  <c r="M83" i="7" s="1"/>
  <c r="P83" i="7" s="1"/>
  <c r="M30" i="7"/>
  <c r="P30" i="7" s="1"/>
  <c r="AE102" i="7"/>
  <c r="N30" i="7"/>
  <c r="AC78" i="7"/>
  <c r="AC101" i="7"/>
  <c r="L101" i="7" s="1"/>
  <c r="AE83" i="7"/>
  <c r="M26" i="7"/>
  <c r="P26" i="7" s="1"/>
  <c r="AC102" i="7"/>
  <c r="L30" i="7"/>
  <c r="AE56" i="7"/>
  <c r="AB55" i="7"/>
  <c r="I55" i="7" s="1"/>
  <c r="J55" i="7" s="1"/>
  <c r="AD78" i="7"/>
  <c r="AE69" i="7"/>
  <c r="O69" i="7" s="1"/>
  <c r="AC56" i="7"/>
  <c r="AD101" i="7"/>
  <c r="N101" i="7" s="1"/>
  <c r="AC83" i="7"/>
  <c r="N156" i="7"/>
  <c r="AD178" i="7"/>
  <c r="K156" i="7"/>
  <c r="M24" i="7"/>
  <c r="P24" i="7" s="1"/>
  <c r="AD110" i="7"/>
  <c r="AD90" i="7"/>
  <c r="N90" i="7" s="1"/>
  <c r="O24" i="7"/>
  <c r="AB91" i="7"/>
  <c r="I91" i="7" s="1"/>
  <c r="J91" i="7" s="1"/>
  <c r="M155" i="7"/>
  <c r="P155" i="7" s="1"/>
  <c r="AD180" i="7"/>
  <c r="N180" i="7" s="1"/>
  <c r="L122" i="7"/>
  <c r="AB110" i="7"/>
  <c r="I110" i="7" s="1"/>
  <c r="J110" i="7" s="1"/>
  <c r="K155" i="7"/>
  <c r="N175" i="7"/>
  <c r="AC28" i="7"/>
  <c r="L22" i="7"/>
  <c r="AD91" i="7"/>
  <c r="L26" i="7"/>
  <c r="K13" i="7"/>
  <c r="O26" i="7"/>
  <c r="AC69" i="7"/>
  <c r="L69" i="7" s="1"/>
  <c r="AE61" i="7"/>
  <c r="AE28" i="7"/>
  <c r="AE178" i="7"/>
  <c r="AC61" i="7"/>
  <c r="K142" i="7"/>
  <c r="O22" i="7"/>
  <c r="AC180" i="7"/>
  <c r="L180" i="7" s="1"/>
  <c r="AE110" i="7"/>
  <c r="AC27" i="7"/>
  <c r="O155" i="7"/>
  <c r="N21" i="7"/>
  <c r="M142" i="7"/>
  <c r="P142" i="7" s="1"/>
  <c r="AD69" i="7"/>
  <c r="N69" i="7" s="1"/>
  <c r="AB178" i="7"/>
  <c r="I178" i="7" s="1"/>
  <c r="J178" i="7" s="1"/>
  <c r="K178" i="7" s="1"/>
  <c r="N123" i="7"/>
  <c r="L123" i="7"/>
  <c r="O123" i="7"/>
  <c r="K123" i="7"/>
  <c r="M123" i="7"/>
  <c r="P123" i="7" s="1"/>
  <c r="N103" i="7"/>
  <c r="L103" i="7"/>
  <c r="O103" i="7"/>
  <c r="K103" i="7"/>
  <c r="M103" i="7"/>
  <c r="P103" i="7" s="1"/>
  <c r="AB61" i="7"/>
  <c r="I61" i="7" s="1"/>
  <c r="J61" i="7" s="1"/>
  <c r="K61" i="7" s="1"/>
  <c r="AB28" i="7"/>
  <c r="I28" i="7" s="1"/>
  <c r="J28" i="7" s="1"/>
  <c r="N28" i="7" s="1"/>
  <c r="O21" i="7"/>
  <c r="N26" i="7"/>
  <c r="O30" i="7"/>
  <c r="M21" i="7"/>
  <c r="P21" i="7" s="1"/>
  <c r="O175" i="7"/>
  <c r="N122" i="7"/>
  <c r="AC105" i="7"/>
  <c r="O122" i="7"/>
  <c r="K122" i="7"/>
  <c r="AD111" i="7"/>
  <c r="L17" i="7"/>
  <c r="AC91" i="7"/>
  <c r="AD129" i="7"/>
  <c r="K175" i="7"/>
  <c r="AD80" i="7"/>
  <c r="AC111" i="7"/>
  <c r="AC90" i="7"/>
  <c r="L90" i="7" s="1"/>
  <c r="O17" i="7"/>
  <c r="AD20" i="7"/>
  <c r="AB20" i="7"/>
  <c r="I20" i="7" s="1"/>
  <c r="J20" i="7" s="1"/>
  <c r="M20" i="7" s="1"/>
  <c r="P20" i="7" s="1"/>
  <c r="AC20" i="7"/>
  <c r="AE20" i="7"/>
  <c r="AE27" i="7"/>
  <c r="N17" i="7"/>
  <c r="AC80" i="7"/>
  <c r="AD107" i="7"/>
  <c r="AB129" i="7"/>
  <c r="I129" i="7" s="1"/>
  <c r="J129" i="7" s="1"/>
  <c r="M129" i="7" s="1"/>
  <c r="P129" i="7" s="1"/>
  <c r="N142" i="7"/>
  <c r="M17" i="7"/>
  <c r="P17" i="7" s="1"/>
  <c r="AC129" i="7"/>
  <c r="AB27" i="7"/>
  <c r="I27" i="7" s="1"/>
  <c r="J27" i="7" s="1"/>
  <c r="L142" i="7"/>
  <c r="L175" i="7"/>
  <c r="AB80" i="7"/>
  <c r="I80" i="7" s="1"/>
  <c r="J80" i="7" s="1"/>
  <c r="AC70" i="7"/>
  <c r="AB70" i="7"/>
  <c r="I70" i="7" s="1"/>
  <c r="J70" i="7" s="1"/>
  <c r="M70" i="7" s="1"/>
  <c r="P70" i="7" s="1"/>
  <c r="M135" i="7"/>
  <c r="P135" i="7" s="1"/>
  <c r="AB87" i="7"/>
  <c r="I87" i="7" s="1"/>
  <c r="J87" i="7" s="1"/>
  <c r="AE70" i="7"/>
  <c r="AB107" i="7"/>
  <c r="I107" i="7" s="1"/>
  <c r="J107" i="7" s="1"/>
  <c r="M107" i="7" s="1"/>
  <c r="P107" i="7" s="1"/>
  <c r="AC107" i="7"/>
  <c r="AE111" i="7"/>
  <c r="N22" i="7"/>
  <c r="AE87" i="7"/>
  <c r="AD87" i="7"/>
  <c r="AE90" i="7"/>
  <c r="O90" i="7" s="1"/>
  <c r="M13" i="7"/>
  <c r="P13" i="7" s="1"/>
  <c r="J14" i="7"/>
  <c r="M14" i="7" s="1"/>
  <c r="P14" i="7" s="1"/>
  <c r="L13" i="7"/>
  <c r="N13" i="7"/>
  <c r="M22" i="7"/>
  <c r="P22" i="7" s="1"/>
  <c r="M173" i="7"/>
  <c r="P173" i="7" s="1"/>
  <c r="AC146" i="7"/>
  <c r="AB146" i="7"/>
  <c r="I146" i="7" s="1"/>
  <c r="J146" i="7" s="1"/>
  <c r="M146" i="7" s="1"/>
  <c r="P146" i="7" s="1"/>
  <c r="AD146" i="7"/>
  <c r="AC62" i="7"/>
  <c r="AE62" i="7"/>
  <c r="AB62" i="7"/>
  <c r="I62" i="7" s="1"/>
  <c r="AD62" i="7"/>
  <c r="N93" i="7"/>
  <c r="O93" i="7"/>
  <c r="L93" i="7"/>
  <c r="K93" i="7"/>
  <c r="N92" i="7"/>
  <c r="O92" i="7"/>
  <c r="L92" i="7"/>
  <c r="K92" i="7"/>
  <c r="L47" i="7"/>
  <c r="N47" i="7"/>
  <c r="O47" i="7"/>
  <c r="K47" i="7"/>
  <c r="L99" i="7"/>
  <c r="N99" i="7"/>
  <c r="K99" i="7"/>
  <c r="O99" i="7"/>
  <c r="L160" i="7"/>
  <c r="N160" i="7"/>
  <c r="O160" i="7"/>
  <c r="K160" i="7"/>
  <c r="J134" i="7"/>
  <c r="M134" i="7" s="1"/>
  <c r="P134" i="7" s="1"/>
  <c r="J120" i="7"/>
  <c r="M120" i="7" s="1"/>
  <c r="P120" i="7" s="1"/>
  <c r="L45" i="7"/>
  <c r="O45" i="7"/>
  <c r="K45" i="7"/>
  <c r="N45" i="7"/>
  <c r="N88" i="7"/>
  <c r="O88" i="7"/>
  <c r="L88" i="7"/>
  <c r="K88" i="7"/>
  <c r="L106" i="7"/>
  <c r="N106" i="7"/>
  <c r="O106" i="7"/>
  <c r="K106" i="7"/>
  <c r="J73" i="7"/>
  <c r="M73" i="7" s="1"/>
  <c r="P73" i="7" s="1"/>
  <c r="L37" i="7"/>
  <c r="K37" i="7"/>
  <c r="O37" i="7"/>
  <c r="N37" i="7"/>
  <c r="K16" i="7"/>
  <c r="L16" i="7"/>
  <c r="N16" i="7"/>
  <c r="O16" i="7"/>
  <c r="J171" i="7"/>
  <c r="M171" i="7" s="1"/>
  <c r="P171" i="7" s="1"/>
  <c r="J63" i="7"/>
  <c r="M63" i="7" s="1"/>
  <c r="P63" i="7" s="1"/>
  <c r="J149" i="7"/>
  <c r="M149" i="7" s="1"/>
  <c r="P149" i="7" s="1"/>
  <c r="J119" i="7"/>
  <c r="M119" i="7" s="1"/>
  <c r="P119" i="7" s="1"/>
  <c r="L15" i="7"/>
  <c r="K15" i="7"/>
  <c r="N15" i="7"/>
  <c r="O15" i="7"/>
  <c r="J143" i="7"/>
  <c r="M143" i="7" s="1"/>
  <c r="P143" i="7" s="1"/>
  <c r="J136" i="7"/>
  <c r="M136" i="7" s="1"/>
  <c r="P136" i="7" s="1"/>
  <c r="J169" i="7"/>
  <c r="M169" i="7" s="1"/>
  <c r="P169" i="7" s="1"/>
  <c r="L49" i="7"/>
  <c r="K49" i="7"/>
  <c r="N49" i="7"/>
  <c r="O49" i="7"/>
  <c r="J111" i="7"/>
  <c r="M111" i="7" s="1"/>
  <c r="P111" i="7" s="1"/>
  <c r="J128" i="7"/>
  <c r="M128" i="7" s="1"/>
  <c r="P128" i="7" s="1"/>
  <c r="AC94" i="7"/>
  <c r="AD94" i="7"/>
  <c r="AE94" i="7"/>
  <c r="AB94" i="7"/>
  <c r="I94" i="7" s="1"/>
  <c r="N89" i="7"/>
  <c r="O89" i="7"/>
  <c r="L89" i="7"/>
  <c r="K89" i="7"/>
  <c r="J147" i="7"/>
  <c r="M147" i="7" s="1"/>
  <c r="P147" i="7" s="1"/>
  <c r="J81" i="7"/>
  <c r="M81" i="7" s="1"/>
  <c r="P81" i="7" s="1"/>
  <c r="AB159" i="7"/>
  <c r="I159" i="7" s="1"/>
  <c r="AD159" i="7"/>
  <c r="AE159" i="7"/>
  <c r="AC159" i="7"/>
  <c r="AC114" i="7"/>
  <c r="AD114" i="7"/>
  <c r="AB114" i="7"/>
  <c r="I114" i="7" s="1"/>
  <c r="AE114" i="7"/>
  <c r="L29" i="7"/>
  <c r="N29" i="7"/>
  <c r="K29" i="7"/>
  <c r="O29" i="7"/>
  <c r="L53" i="7"/>
  <c r="N53" i="7"/>
  <c r="K53" i="7"/>
  <c r="O53" i="7"/>
  <c r="J117" i="7"/>
  <c r="M117" i="7" s="1"/>
  <c r="P117" i="7" s="1"/>
  <c r="L157" i="7"/>
  <c r="N157" i="7"/>
  <c r="O157" i="7"/>
  <c r="K157" i="7"/>
  <c r="L44" i="7"/>
  <c r="K44" i="7"/>
  <c r="N44" i="7"/>
  <c r="O44" i="7"/>
  <c r="AE161" i="7"/>
  <c r="AD161" i="7"/>
  <c r="AC161" i="7"/>
  <c r="AB161" i="7"/>
  <c r="I161" i="7" s="1"/>
  <c r="L95" i="7"/>
  <c r="N95" i="7"/>
  <c r="O95" i="7"/>
  <c r="K95" i="7"/>
  <c r="O59" i="7"/>
  <c r="K59" i="7"/>
  <c r="L59" i="7"/>
  <c r="N59" i="7"/>
  <c r="K90" i="7"/>
  <c r="AD109" i="7"/>
  <c r="AE109" i="7"/>
  <c r="AC109" i="7"/>
  <c r="AB109" i="7"/>
  <c r="I109" i="7" s="1"/>
  <c r="O66" i="7"/>
  <c r="N66" i="7"/>
  <c r="K66" i="7"/>
  <c r="L66" i="7"/>
  <c r="L40" i="7"/>
  <c r="K40" i="7"/>
  <c r="N40" i="7"/>
  <c r="O40" i="7"/>
  <c r="J163" i="7"/>
  <c r="M163" i="7" s="1"/>
  <c r="P163" i="7" s="1"/>
  <c r="L172" i="7"/>
  <c r="N172" i="7"/>
  <c r="O172" i="7"/>
  <c r="K172" i="7"/>
  <c r="J168" i="7"/>
  <c r="M168" i="7" s="1"/>
  <c r="P168" i="7" s="1"/>
  <c r="AE105" i="7"/>
  <c r="M47" i="7"/>
  <c r="P47" i="7" s="1"/>
  <c r="AB105" i="7"/>
  <c r="I105" i="7" s="1"/>
  <c r="M45" i="7"/>
  <c r="P45" i="7" s="1"/>
  <c r="M16" i="7"/>
  <c r="P16" i="7" s="1"/>
  <c r="M15" i="7"/>
  <c r="P15" i="7" s="1"/>
  <c r="M49" i="7"/>
  <c r="P49" i="7" s="1"/>
  <c r="M29" i="7"/>
  <c r="P29" i="7" s="1"/>
  <c r="M53" i="7"/>
  <c r="P53" i="7" s="1"/>
  <c r="O71" i="7"/>
  <c r="L71" i="7"/>
  <c r="N71" i="7"/>
  <c r="K71" i="7"/>
  <c r="AE86" i="7"/>
  <c r="AC86" i="7"/>
  <c r="AD86" i="7"/>
  <c r="AB86" i="7"/>
  <c r="I86" i="7" s="1"/>
  <c r="K19" i="7"/>
  <c r="L19" i="7"/>
  <c r="N19" i="7"/>
  <c r="O19" i="7"/>
  <c r="J60" i="7"/>
  <c r="L23" i="7"/>
  <c r="K23" i="7"/>
  <c r="N23" i="7"/>
  <c r="O23" i="7"/>
  <c r="L179" i="7"/>
  <c r="N179" i="7"/>
  <c r="O179" i="7"/>
  <c r="K179" i="7"/>
  <c r="L97" i="7"/>
  <c r="K97" i="7"/>
  <c r="N97" i="7"/>
  <c r="O97" i="7"/>
  <c r="J151" i="7"/>
  <c r="M151" i="7" s="1"/>
  <c r="P151" i="7" s="1"/>
  <c r="L39" i="7"/>
  <c r="N39" i="7"/>
  <c r="O39" i="7"/>
  <c r="K39" i="7"/>
  <c r="L54" i="7"/>
  <c r="N54" i="7"/>
  <c r="K54" i="7"/>
  <c r="O54" i="7"/>
  <c r="AE144" i="7"/>
  <c r="AB144" i="7"/>
  <c r="I144" i="7" s="1"/>
  <c r="AC144" i="7"/>
  <c r="AD144" i="7"/>
  <c r="L130" i="7"/>
  <c r="N130" i="7"/>
  <c r="O130" i="7"/>
  <c r="K130" i="7"/>
  <c r="K67" i="7"/>
  <c r="O82" i="7"/>
  <c r="K82" i="7"/>
  <c r="L82" i="7"/>
  <c r="N82" i="7"/>
  <c r="L31" i="7"/>
  <c r="N31" i="7"/>
  <c r="O31" i="7"/>
  <c r="K31" i="7"/>
  <c r="J102" i="7"/>
  <c r="M102" i="7" s="1"/>
  <c r="P102" i="7" s="1"/>
  <c r="J158" i="7"/>
  <c r="M158" i="7" s="1"/>
  <c r="P158" i="7" s="1"/>
  <c r="J181" i="7"/>
  <c r="M181" i="7" s="1"/>
  <c r="P181" i="7" s="1"/>
  <c r="L113" i="7"/>
  <c r="N113" i="7"/>
  <c r="O113" i="7"/>
  <c r="K113" i="7"/>
  <c r="L139" i="7"/>
  <c r="N139" i="7"/>
  <c r="O139" i="7"/>
  <c r="K139" i="7"/>
  <c r="L125" i="7"/>
  <c r="N125" i="7"/>
  <c r="O125" i="7"/>
  <c r="K125" i="7"/>
  <c r="J57" i="7"/>
  <c r="M57" i="7" s="1"/>
  <c r="P57" i="7" s="1"/>
  <c r="L41" i="7"/>
  <c r="N41" i="7"/>
  <c r="K41" i="7"/>
  <c r="O41" i="7"/>
  <c r="L173" i="7"/>
  <c r="N173" i="7"/>
  <c r="O173" i="7"/>
  <c r="K173" i="7"/>
  <c r="L135" i="7"/>
  <c r="N135" i="7"/>
  <c r="O135" i="7"/>
  <c r="K135" i="7"/>
  <c r="K180" i="7"/>
  <c r="L152" i="7"/>
  <c r="N152" i="7"/>
  <c r="O152" i="7"/>
  <c r="K152" i="7"/>
  <c r="M71" i="7"/>
  <c r="P71" i="7" s="1"/>
  <c r="M23" i="7"/>
  <c r="P23" i="7" s="1"/>
  <c r="M39" i="7"/>
  <c r="P39" i="7" s="1"/>
  <c r="M54" i="7"/>
  <c r="P54" i="7" s="1"/>
  <c r="AB77" i="7"/>
  <c r="I77" i="7" s="1"/>
  <c r="AE77" i="7"/>
  <c r="AD77" i="7"/>
  <c r="AC77" i="7"/>
  <c r="L127" i="7"/>
  <c r="N127" i="7"/>
  <c r="O127" i="7"/>
  <c r="K127" i="7"/>
  <c r="J138" i="7"/>
  <c r="M138" i="7" s="1"/>
  <c r="P138" i="7" s="1"/>
  <c r="L112" i="7"/>
  <c r="N112" i="7"/>
  <c r="O112" i="7"/>
  <c r="K112" i="7"/>
  <c r="L50" i="7"/>
  <c r="N50" i="7"/>
  <c r="O50" i="7"/>
  <c r="K50" i="7"/>
  <c r="J121" i="7"/>
  <c r="J167" i="7"/>
  <c r="M167" i="7" s="1"/>
  <c r="P167" i="7" s="1"/>
  <c r="L35" i="7"/>
  <c r="K35" i="7"/>
  <c r="O35" i="7"/>
  <c r="N35" i="7"/>
  <c r="J118" i="7"/>
  <c r="M118" i="7" s="1"/>
  <c r="P118" i="7" s="1"/>
  <c r="J68" i="7"/>
  <c r="M68" i="7" s="1"/>
  <c r="P68" i="7" s="1"/>
  <c r="L100" i="7"/>
  <c r="N100" i="7"/>
  <c r="K100" i="7"/>
  <c r="O100" i="7"/>
  <c r="L34" i="7"/>
  <c r="N34" i="7"/>
  <c r="O34" i="7"/>
  <c r="K34" i="7"/>
  <c r="J72" i="7"/>
  <c r="O58" i="7"/>
  <c r="K58" i="7"/>
  <c r="L58" i="7"/>
  <c r="N58" i="7"/>
  <c r="J133" i="7"/>
  <c r="M133" i="7" s="1"/>
  <c r="P133" i="7" s="1"/>
  <c r="J153" i="7"/>
  <c r="M153" i="7" s="1"/>
  <c r="P153" i="7" s="1"/>
  <c r="L166" i="7"/>
  <c r="N166" i="7"/>
  <c r="O166" i="7"/>
  <c r="K166" i="7"/>
  <c r="K101" i="7"/>
  <c r="L116" i="7"/>
  <c r="N116" i="7"/>
  <c r="O116" i="7"/>
  <c r="K116" i="7"/>
  <c r="L145" i="7"/>
  <c r="N145" i="7"/>
  <c r="O145" i="7"/>
  <c r="K145" i="7"/>
  <c r="N84" i="7"/>
  <c r="O84" i="7"/>
  <c r="L84" i="7"/>
  <c r="K84" i="7"/>
  <c r="J98" i="7"/>
  <c r="M98" i="7" s="1"/>
  <c r="P98" i="7" s="1"/>
  <c r="L43" i="7"/>
  <c r="K43" i="7"/>
  <c r="O43" i="7"/>
  <c r="N43" i="7"/>
  <c r="AE104" i="7"/>
  <c r="AD104" i="7"/>
  <c r="AC104" i="7"/>
  <c r="AB104" i="7"/>
  <c r="I104" i="7" s="1"/>
  <c r="J115" i="7"/>
  <c r="M115" i="7" s="1"/>
  <c r="P115" i="7" s="1"/>
  <c r="J79" i="7"/>
  <c r="L170" i="7"/>
  <c r="N170" i="7"/>
  <c r="O170" i="7"/>
  <c r="K170" i="7"/>
  <c r="L140" i="7"/>
  <c r="N140" i="7"/>
  <c r="O140" i="7"/>
  <c r="K140" i="7"/>
  <c r="J177" i="7"/>
  <c r="M177" i="7" s="1"/>
  <c r="P177" i="7" s="1"/>
  <c r="J137" i="7"/>
  <c r="M137" i="7" s="1"/>
  <c r="P137" i="7" s="1"/>
  <c r="K69" i="7"/>
  <c r="J48" i="7"/>
  <c r="M48" i="7" s="1"/>
  <c r="P48" i="7" s="1"/>
  <c r="J38" i="7"/>
  <c r="M38" i="7" s="1"/>
  <c r="P38" i="7" s="1"/>
  <c r="K75" i="7"/>
  <c r="J132" i="7"/>
  <c r="L141" i="7"/>
  <c r="N141" i="7"/>
  <c r="O141" i="7"/>
  <c r="K141" i="7"/>
  <c r="L174" i="7"/>
  <c r="N174" i="7"/>
  <c r="O174" i="7"/>
  <c r="K174" i="7"/>
  <c r="L124" i="7"/>
  <c r="N124" i="7"/>
  <c r="O124" i="7"/>
  <c r="K124" i="7"/>
  <c r="J78" i="7"/>
  <c r="M78" i="7" s="1"/>
  <c r="P78" i="7" s="1"/>
  <c r="AC131" i="7"/>
  <c r="AE131" i="7"/>
  <c r="AD131" i="7"/>
  <c r="AB131" i="7"/>
  <c r="I131" i="7" s="1"/>
  <c r="J154" i="7"/>
  <c r="M154" i="7" s="1"/>
  <c r="P154" i="7" s="1"/>
  <c r="J76" i="7"/>
  <c r="M76" i="7" s="1"/>
  <c r="P76" i="7" s="1"/>
  <c r="L32" i="7"/>
  <c r="K32" i="7"/>
  <c r="N32" i="7"/>
  <c r="O32" i="7"/>
  <c r="L36" i="7"/>
  <c r="O36" i="7"/>
  <c r="K36" i="7"/>
  <c r="N36" i="7"/>
  <c r="L150" i="7"/>
  <c r="N150" i="7"/>
  <c r="O150" i="7"/>
  <c r="K150" i="7"/>
  <c r="M19" i="7"/>
  <c r="P19" i="7" s="1"/>
  <c r="M93" i="7"/>
  <c r="P93" i="7" s="1"/>
  <c r="M92" i="7"/>
  <c r="P92" i="7" s="1"/>
  <c r="M99" i="7"/>
  <c r="P99" i="7" s="1"/>
  <c r="M160" i="7"/>
  <c r="P160" i="7" s="1"/>
  <c r="M88" i="7"/>
  <c r="P88" i="7" s="1"/>
  <c r="M106" i="7"/>
  <c r="P106" i="7" s="1"/>
  <c r="M37" i="7"/>
  <c r="P37" i="7" s="1"/>
  <c r="M58" i="7"/>
  <c r="P58" i="7" s="1"/>
  <c r="O74" i="7" l="1"/>
  <c r="K74" i="7"/>
  <c r="L74" i="7"/>
  <c r="N74" i="7"/>
  <c r="J65" i="7"/>
  <c r="M61" i="7"/>
  <c r="P61" i="7" s="1"/>
  <c r="O61" i="7"/>
  <c r="M28" i="7"/>
  <c r="P28" i="7" s="1"/>
  <c r="O83" i="7"/>
  <c r="N83" i="7"/>
  <c r="K83" i="7"/>
  <c r="L83" i="7"/>
  <c r="O20" i="7"/>
  <c r="O28" i="7"/>
  <c r="O146" i="7"/>
  <c r="L28" i="7"/>
  <c r="K20" i="7"/>
  <c r="N61" i="7"/>
  <c r="O178" i="7"/>
  <c r="K28" i="7"/>
  <c r="L146" i="7"/>
  <c r="N20" i="7"/>
  <c r="L20" i="7"/>
  <c r="L61" i="7"/>
  <c r="K146" i="7"/>
  <c r="M178" i="7"/>
  <c r="P178" i="7" s="1"/>
  <c r="L178" i="7"/>
  <c r="N146" i="7"/>
  <c r="N178" i="7"/>
  <c r="O14" i="7"/>
  <c r="L14" i="7"/>
  <c r="K14" i="7"/>
  <c r="N14" i="7"/>
  <c r="L132" i="7"/>
  <c r="N132" i="7"/>
  <c r="O132" i="7"/>
  <c r="K132" i="7"/>
  <c r="L121" i="7"/>
  <c r="N121" i="7"/>
  <c r="O121" i="7"/>
  <c r="K121" i="7"/>
  <c r="N91" i="7"/>
  <c r="O91" i="7"/>
  <c r="K91" i="7"/>
  <c r="L91" i="7"/>
  <c r="O55" i="7"/>
  <c r="L55" i="7"/>
  <c r="N55" i="7"/>
  <c r="K55" i="7"/>
  <c r="O79" i="7"/>
  <c r="L79" i="7"/>
  <c r="N79" i="7"/>
  <c r="K79" i="7"/>
  <c r="J105" i="7"/>
  <c r="M105" i="7" s="1"/>
  <c r="P105" i="7" s="1"/>
  <c r="L27" i="7"/>
  <c r="K27" i="7"/>
  <c r="O27" i="7"/>
  <c r="N27" i="7"/>
  <c r="N87" i="7"/>
  <c r="O87" i="7"/>
  <c r="K87" i="7"/>
  <c r="L87" i="7"/>
  <c r="N110" i="7"/>
  <c r="O110" i="7"/>
  <c r="K110" i="7"/>
  <c r="L110" i="7"/>
  <c r="J159" i="7"/>
  <c r="M159" i="7" s="1"/>
  <c r="P159" i="7" s="1"/>
  <c r="L154" i="7"/>
  <c r="N154" i="7"/>
  <c r="O154" i="7"/>
  <c r="K154" i="7"/>
  <c r="L181" i="7"/>
  <c r="N181" i="7"/>
  <c r="O181" i="7"/>
  <c r="K181" i="7"/>
  <c r="J144" i="7"/>
  <c r="M144" i="7" s="1"/>
  <c r="P144" i="7" s="1"/>
  <c r="L128" i="7"/>
  <c r="N128" i="7"/>
  <c r="O128" i="7"/>
  <c r="K128" i="7"/>
  <c r="L149" i="7"/>
  <c r="N149" i="7"/>
  <c r="O149" i="7"/>
  <c r="K149" i="7"/>
  <c r="L171" i="7"/>
  <c r="N171" i="7"/>
  <c r="O171" i="7"/>
  <c r="K171" i="7"/>
  <c r="L120" i="7"/>
  <c r="N120" i="7"/>
  <c r="O120" i="7"/>
  <c r="K120" i="7"/>
  <c r="O76" i="7"/>
  <c r="N76" i="7"/>
  <c r="K76" i="7"/>
  <c r="L76" i="7"/>
  <c r="L48" i="7"/>
  <c r="N48" i="7"/>
  <c r="O48" i="7"/>
  <c r="K48" i="7"/>
  <c r="J62" i="7"/>
  <c r="M62" i="7" s="1"/>
  <c r="P62" i="7" s="1"/>
  <c r="M91" i="7"/>
  <c r="P91" i="7" s="1"/>
  <c r="M55" i="7"/>
  <c r="P55" i="7" s="1"/>
  <c r="M79" i="7"/>
  <c r="P79" i="7" s="1"/>
  <c r="M27" i="7"/>
  <c r="P27" i="7" s="1"/>
  <c r="M87" i="7"/>
  <c r="P87" i="7" s="1"/>
  <c r="M110" i="7"/>
  <c r="P110" i="7" s="1"/>
  <c r="M132" i="7"/>
  <c r="P132" i="7" s="1"/>
  <c r="M121" i="7"/>
  <c r="P121" i="7" s="1"/>
  <c r="O57" i="7"/>
  <c r="L57" i="7"/>
  <c r="K57" i="7"/>
  <c r="N57" i="7"/>
  <c r="L163" i="7"/>
  <c r="N163" i="7"/>
  <c r="O163" i="7"/>
  <c r="K163" i="7"/>
  <c r="L119" i="7"/>
  <c r="N119" i="7"/>
  <c r="O119" i="7"/>
  <c r="K119" i="7"/>
  <c r="L134" i="7"/>
  <c r="N134" i="7"/>
  <c r="O134" i="7"/>
  <c r="K134" i="7"/>
  <c r="O60" i="7"/>
  <c r="N60" i="7"/>
  <c r="K60" i="7"/>
  <c r="L60" i="7"/>
  <c r="O80" i="7"/>
  <c r="K80" i="7"/>
  <c r="L80" i="7"/>
  <c r="N80" i="7"/>
  <c r="L137" i="7"/>
  <c r="N137" i="7"/>
  <c r="O137" i="7"/>
  <c r="K137" i="7"/>
  <c r="J104" i="7"/>
  <c r="M104" i="7" s="1"/>
  <c r="P104" i="7" s="1"/>
  <c r="L98" i="7"/>
  <c r="N98" i="7"/>
  <c r="K98" i="7"/>
  <c r="O98" i="7"/>
  <c r="L133" i="7"/>
  <c r="N133" i="7"/>
  <c r="O133" i="7"/>
  <c r="K133" i="7"/>
  <c r="L167" i="7"/>
  <c r="N167" i="7"/>
  <c r="O167" i="7"/>
  <c r="K167" i="7"/>
  <c r="L102" i="7"/>
  <c r="N102" i="7"/>
  <c r="O102" i="7"/>
  <c r="K102" i="7"/>
  <c r="L147" i="7"/>
  <c r="N147" i="7"/>
  <c r="O147" i="7"/>
  <c r="K147" i="7"/>
  <c r="L136" i="7"/>
  <c r="N136" i="7"/>
  <c r="O136" i="7"/>
  <c r="K136" i="7"/>
  <c r="L107" i="7"/>
  <c r="N107" i="7"/>
  <c r="O107" i="7"/>
  <c r="K107" i="7"/>
  <c r="M60" i="7"/>
  <c r="P60" i="7" s="1"/>
  <c r="M80" i="7"/>
  <c r="P80" i="7" s="1"/>
  <c r="L129" i="7"/>
  <c r="N129" i="7"/>
  <c r="O129" i="7"/>
  <c r="K129" i="7"/>
  <c r="L143" i="7"/>
  <c r="N143" i="7"/>
  <c r="O143" i="7"/>
  <c r="K143" i="7"/>
  <c r="O68" i="7"/>
  <c r="K68" i="7"/>
  <c r="L68" i="7"/>
  <c r="N68" i="7"/>
  <c r="J77" i="7"/>
  <c r="J114" i="7"/>
  <c r="O56" i="7"/>
  <c r="L56" i="7"/>
  <c r="N56" i="7"/>
  <c r="K56" i="7"/>
  <c r="O78" i="7"/>
  <c r="L78" i="7"/>
  <c r="N78" i="7"/>
  <c r="K78" i="7"/>
  <c r="L177" i="7"/>
  <c r="N177" i="7"/>
  <c r="O177" i="7"/>
  <c r="K177" i="7"/>
  <c r="L118" i="7"/>
  <c r="N118" i="7"/>
  <c r="O118" i="7"/>
  <c r="K118" i="7"/>
  <c r="L168" i="7"/>
  <c r="N168" i="7"/>
  <c r="O168" i="7"/>
  <c r="K168" i="7"/>
  <c r="L117" i="7"/>
  <c r="N117" i="7"/>
  <c r="O117" i="7"/>
  <c r="K117" i="7"/>
  <c r="O70" i="7"/>
  <c r="L70" i="7"/>
  <c r="N70" i="7"/>
  <c r="K70" i="7"/>
  <c r="L38" i="7"/>
  <c r="K38" i="7"/>
  <c r="N38" i="7"/>
  <c r="O38" i="7"/>
  <c r="O72" i="7"/>
  <c r="K72" i="7"/>
  <c r="L72" i="7"/>
  <c r="N72" i="7"/>
  <c r="J131" i="7"/>
  <c r="M131" i="7" s="1"/>
  <c r="P131" i="7" s="1"/>
  <c r="L115" i="7"/>
  <c r="N115" i="7"/>
  <c r="O115" i="7"/>
  <c r="K115" i="7"/>
  <c r="L153" i="7"/>
  <c r="N153" i="7"/>
  <c r="O153" i="7"/>
  <c r="K153" i="7"/>
  <c r="L138" i="7"/>
  <c r="N138" i="7"/>
  <c r="O138" i="7"/>
  <c r="K138" i="7"/>
  <c r="L158" i="7"/>
  <c r="N158" i="7"/>
  <c r="O158" i="7"/>
  <c r="K158" i="7"/>
  <c r="L151" i="7"/>
  <c r="N151" i="7"/>
  <c r="O151" i="7"/>
  <c r="K151" i="7"/>
  <c r="J86" i="7"/>
  <c r="M86" i="7" s="1"/>
  <c r="P86" i="7" s="1"/>
  <c r="J109" i="7"/>
  <c r="M109" i="7" s="1"/>
  <c r="P109" i="7" s="1"/>
  <c r="J161" i="7"/>
  <c r="M161" i="7" s="1"/>
  <c r="P161" i="7" s="1"/>
  <c r="O81" i="7"/>
  <c r="N81" i="7"/>
  <c r="L81" i="7"/>
  <c r="K81" i="7"/>
  <c r="J94" i="7"/>
  <c r="M94" i="7" s="1"/>
  <c r="P94" i="7" s="1"/>
  <c r="L111" i="7"/>
  <c r="N111" i="7"/>
  <c r="O111" i="7"/>
  <c r="K111" i="7"/>
  <c r="L169" i="7"/>
  <c r="N169" i="7"/>
  <c r="O169" i="7"/>
  <c r="K169" i="7"/>
  <c r="O63" i="7"/>
  <c r="L63" i="7"/>
  <c r="K63" i="7"/>
  <c r="N63" i="7"/>
  <c r="O73" i="7"/>
  <c r="N73" i="7"/>
  <c r="K73" i="7"/>
  <c r="L73" i="7"/>
  <c r="M72" i="7"/>
  <c r="P72" i="7" s="1"/>
  <c r="M56" i="7"/>
  <c r="P56" i="7" s="1"/>
  <c r="L65" i="7" l="1"/>
  <c r="N65" i="7"/>
  <c r="K65" i="7"/>
  <c r="O65" i="7"/>
  <c r="M65" i="7"/>
  <c r="P65" i="7" s="1"/>
  <c r="L114" i="7"/>
  <c r="N114" i="7"/>
  <c r="O114" i="7"/>
  <c r="K114" i="7"/>
  <c r="O77" i="7"/>
  <c r="K77" i="7"/>
  <c r="N77" i="7"/>
  <c r="L77" i="7"/>
  <c r="N94" i="7"/>
  <c r="O94" i="7"/>
  <c r="K94" i="7"/>
  <c r="L94" i="7"/>
  <c r="L109" i="7"/>
  <c r="N109" i="7"/>
  <c r="O109" i="7"/>
  <c r="K109" i="7"/>
  <c r="L131" i="7"/>
  <c r="N131" i="7"/>
  <c r="O131" i="7"/>
  <c r="K131" i="7"/>
  <c r="M77" i="7"/>
  <c r="P77" i="7" s="1"/>
  <c r="M114" i="7"/>
  <c r="P114" i="7" s="1"/>
  <c r="L161" i="7"/>
  <c r="N161" i="7"/>
  <c r="O161" i="7"/>
  <c r="K161" i="7"/>
  <c r="L159" i="7"/>
  <c r="N159" i="7"/>
  <c r="O159" i="7"/>
  <c r="K159" i="7"/>
  <c r="L104" i="7"/>
  <c r="N104" i="7"/>
  <c r="O104" i="7"/>
  <c r="K104" i="7"/>
  <c r="L144" i="7"/>
  <c r="N144" i="7"/>
  <c r="O144" i="7"/>
  <c r="K144" i="7"/>
  <c r="L105" i="7"/>
  <c r="N105" i="7"/>
  <c r="O105" i="7"/>
  <c r="K105" i="7"/>
  <c r="N86" i="7"/>
  <c r="O86" i="7"/>
  <c r="K86" i="7"/>
  <c r="L86" i="7"/>
  <c r="O62" i="7"/>
  <c r="L62" i="7"/>
  <c r="N62" i="7"/>
  <c r="K62" i="7"/>
  <c r="B11" i="5" l="1"/>
  <c r="P36" i="4" l="1"/>
  <c r="T30" i="4" l="1"/>
  <c r="T45" i="4" s="1"/>
  <c r="T46" i="4" s="1"/>
  <c r="T37" i="4"/>
  <c r="T31" i="4"/>
  <c r="P29" i="4"/>
  <c r="P43" i="4" s="1"/>
  <c r="P44" i="4" s="1"/>
  <c r="P28" i="4"/>
  <c r="P31" i="4"/>
  <c r="P37" i="4"/>
  <c r="T36" i="4"/>
  <c r="P30" i="4"/>
  <c r="P45" i="4" s="1"/>
  <c r="P46" i="4" s="1"/>
  <c r="T28" i="4"/>
  <c r="T29" i="4"/>
  <c r="T43" i="4" s="1"/>
  <c r="T44" i="4" s="1"/>
  <c r="T34" i="4" l="1"/>
  <c r="H44" i="4"/>
  <c r="H45" i="4"/>
  <c r="H46" i="4"/>
  <c r="B44" i="4"/>
  <c r="B45" i="4"/>
  <c r="B46" i="4"/>
  <c r="P34" i="4"/>
  <c r="T33" i="4"/>
  <c r="T51" i="4" s="1"/>
  <c r="U51" i="4" s="1"/>
  <c r="T41" i="4"/>
  <c r="T42" i="4" s="1"/>
  <c r="P41" i="4"/>
  <c r="P42" i="4" s="1"/>
  <c r="P33" i="4"/>
  <c r="P51" i="4" s="1"/>
  <c r="Q51" i="4" s="1"/>
  <c r="T35" i="4" l="1"/>
  <c r="T52" i="4" s="1"/>
  <c r="U52" i="4" s="1"/>
  <c r="P35" i="4"/>
  <c r="P52" i="4" s="1"/>
  <c r="T53" i="4" l="1"/>
  <c r="U53" i="4" s="1"/>
  <c r="P53" i="4"/>
  <c r="Q52" i="4"/>
  <c r="T54" i="4" l="1"/>
  <c r="U54" i="4" s="1"/>
  <c r="P54" i="4"/>
  <c r="Q53" i="4"/>
  <c r="T55" i="4" l="1"/>
  <c r="U55" i="4" s="1"/>
  <c r="P55" i="4"/>
  <c r="Q54" i="4"/>
  <c r="T56" i="4" l="1"/>
  <c r="U56" i="4" s="1"/>
  <c r="P56" i="4"/>
  <c r="Q55" i="4"/>
  <c r="T57" i="4" l="1"/>
  <c r="T58" i="4" s="1"/>
  <c r="P57" i="4"/>
  <c r="Q56" i="4"/>
  <c r="U57" i="4" l="1"/>
  <c r="Q57" i="4"/>
  <c r="P58" i="4"/>
  <c r="U58" i="4"/>
  <c r="T59" i="4"/>
  <c r="P59" i="4" l="1"/>
  <c r="Q58" i="4"/>
  <c r="U59" i="4"/>
  <c r="T60" i="4"/>
  <c r="T61" i="4" l="1"/>
  <c r="U60" i="4"/>
  <c r="P60" i="4"/>
  <c r="Q59" i="4"/>
  <c r="U61" i="4" l="1"/>
  <c r="T62" i="4"/>
  <c r="P61" i="4"/>
  <c r="Q60" i="4"/>
  <c r="T63" i="4" l="1"/>
  <c r="U62" i="4"/>
  <c r="Q61" i="4"/>
  <c r="P62" i="4"/>
  <c r="T64" i="4" l="1"/>
  <c r="U63" i="4"/>
  <c r="Q62" i="4"/>
  <c r="P63" i="4"/>
  <c r="T65" i="4" l="1"/>
  <c r="U64" i="4"/>
  <c r="P64" i="4"/>
  <c r="Q63" i="4"/>
  <c r="U65" i="4" l="1"/>
  <c r="T66" i="4"/>
  <c r="Q64" i="4"/>
  <c r="P65" i="4"/>
  <c r="T67" i="4" l="1"/>
  <c r="U66" i="4"/>
  <c r="Q65" i="4"/>
  <c r="P66" i="4"/>
  <c r="T68" i="4" l="1"/>
  <c r="U67" i="4"/>
  <c r="P67" i="4"/>
  <c r="Q66" i="4"/>
  <c r="T69" i="4" l="1"/>
  <c r="U68" i="4"/>
  <c r="Q67" i="4"/>
  <c r="P68" i="4"/>
  <c r="P69" i="4" l="1"/>
  <c r="Q68" i="4"/>
  <c r="U69" i="4"/>
  <c r="T70" i="4"/>
  <c r="P70" i="4" l="1"/>
  <c r="Q69" i="4"/>
  <c r="T71" i="4"/>
  <c r="U70" i="4"/>
  <c r="P71" i="4" l="1"/>
  <c r="Q70" i="4"/>
  <c r="T72" i="4"/>
  <c r="U71" i="4"/>
  <c r="P72" i="4" l="1"/>
  <c r="Q71" i="4"/>
  <c r="T73" i="4"/>
  <c r="U72" i="4"/>
  <c r="P73" i="4" l="1"/>
  <c r="Q72" i="4"/>
  <c r="T74" i="4"/>
  <c r="U73" i="4"/>
  <c r="Q73" i="4" l="1"/>
  <c r="P74" i="4"/>
  <c r="U74" i="4"/>
  <c r="T75" i="4"/>
  <c r="P75" i="4" l="1"/>
  <c r="Q74" i="4"/>
  <c r="U75" i="4"/>
  <c r="T76" i="4"/>
  <c r="P76" i="4" l="1"/>
  <c r="Q75" i="4"/>
  <c r="T77" i="4"/>
  <c r="U76" i="4"/>
  <c r="P77" i="4" l="1"/>
  <c r="Q76" i="4"/>
  <c r="U77" i="4"/>
  <c r="T78" i="4"/>
  <c r="P78" i="4" l="1"/>
  <c r="Q77" i="4"/>
  <c r="T79" i="4"/>
  <c r="U78" i="4"/>
  <c r="P79" i="4" l="1"/>
  <c r="Q78" i="4"/>
  <c r="T80" i="4"/>
  <c r="U79" i="4"/>
  <c r="Q79" i="4" l="1"/>
  <c r="P80" i="4"/>
  <c r="U80" i="4"/>
  <c r="T81" i="4"/>
  <c r="P81" i="4" l="1"/>
  <c r="Q80" i="4"/>
  <c r="U81" i="4"/>
  <c r="T82" i="4"/>
  <c r="U82" i="4" l="1"/>
  <c r="T83" i="4"/>
  <c r="P82" i="4"/>
  <c r="Q81" i="4"/>
  <c r="U83" i="4" l="1"/>
  <c r="T84" i="4"/>
  <c r="Q82" i="4"/>
  <c r="P83" i="4"/>
  <c r="T85" i="4" l="1"/>
  <c r="U84" i="4"/>
  <c r="P84" i="4"/>
  <c r="Q83" i="4"/>
  <c r="U85" i="4" l="1"/>
  <c r="T86" i="4"/>
  <c r="P85" i="4"/>
  <c r="Q84" i="4"/>
  <c r="Q85" i="4" l="1"/>
  <c r="P86" i="4"/>
  <c r="U86" i="4"/>
  <c r="T87" i="4"/>
  <c r="P87" i="4" l="1"/>
  <c r="Q86" i="4"/>
  <c r="U87" i="4"/>
  <c r="T88" i="4"/>
  <c r="P88" i="4" l="1"/>
  <c r="Q87" i="4"/>
  <c r="T89" i="4"/>
  <c r="U88" i="4"/>
  <c r="T90" i="4" l="1"/>
  <c r="U89" i="4"/>
  <c r="Q88" i="4"/>
  <c r="P89" i="4"/>
  <c r="Q89" i="4" l="1"/>
  <c r="P90" i="4"/>
  <c r="T91" i="4"/>
  <c r="U90" i="4"/>
  <c r="T92" i="4" l="1"/>
  <c r="U91" i="4"/>
  <c r="Q90" i="4"/>
  <c r="P91" i="4"/>
  <c r="T93" i="4" l="1"/>
  <c r="U92" i="4"/>
  <c r="P92" i="4"/>
  <c r="Q91" i="4"/>
  <c r="T94" i="4" l="1"/>
  <c r="U93" i="4"/>
  <c r="Q92" i="4"/>
  <c r="P93" i="4"/>
  <c r="T95" i="4" l="1"/>
  <c r="U94" i="4"/>
  <c r="Q93" i="4"/>
  <c r="P94" i="4"/>
  <c r="T96" i="4" l="1"/>
  <c r="U95" i="4"/>
  <c r="P95" i="4"/>
  <c r="Q94" i="4"/>
  <c r="T97" i="4" l="1"/>
  <c r="U96" i="4"/>
  <c r="P96" i="4"/>
  <c r="Q95" i="4"/>
  <c r="T98" i="4" l="1"/>
  <c r="U97" i="4"/>
  <c r="P97" i="4"/>
  <c r="Q96" i="4"/>
  <c r="T99" i="4" l="1"/>
  <c r="U98" i="4"/>
  <c r="P98" i="4"/>
  <c r="Q97" i="4"/>
  <c r="P99" i="4" l="1"/>
  <c r="Q98" i="4"/>
  <c r="T100" i="4"/>
  <c r="U99" i="4"/>
  <c r="Q99" i="4" l="1"/>
  <c r="P100" i="4"/>
  <c r="T101" i="4"/>
  <c r="U100" i="4"/>
  <c r="P101" i="4" l="1"/>
  <c r="Q100" i="4"/>
  <c r="T102" i="4"/>
  <c r="U101" i="4"/>
  <c r="T103" i="4" l="1"/>
  <c r="U102" i="4"/>
  <c r="P102" i="4"/>
  <c r="Q101" i="4"/>
  <c r="T104" i="4" l="1"/>
  <c r="U103" i="4"/>
  <c r="Q102" i="4"/>
  <c r="P103" i="4"/>
  <c r="Q103" i="4" l="1"/>
  <c r="P104" i="4"/>
  <c r="U104" i="4"/>
  <c r="T105" i="4"/>
  <c r="Q104" i="4" l="1"/>
  <c r="P105" i="4"/>
  <c r="T106" i="4"/>
  <c r="U105" i="4"/>
  <c r="P106" i="4" l="1"/>
  <c r="Q105" i="4"/>
  <c r="T107" i="4"/>
  <c r="U106" i="4"/>
  <c r="Q106" i="4" l="1"/>
  <c r="P107" i="4"/>
  <c r="T108" i="4"/>
  <c r="U107" i="4"/>
  <c r="Q107" i="4" l="1"/>
  <c r="P108" i="4"/>
  <c r="T109" i="4"/>
  <c r="U108" i="4"/>
  <c r="T110" i="4" l="1"/>
  <c r="U109" i="4"/>
  <c r="Q108" i="4"/>
  <c r="P109" i="4"/>
  <c r="U110" i="4" l="1"/>
  <c r="T111" i="4"/>
  <c r="P110" i="4"/>
  <c r="Q109" i="4"/>
  <c r="T112" i="4" l="1"/>
  <c r="U111" i="4"/>
  <c r="P111" i="4"/>
  <c r="Q110" i="4"/>
  <c r="T113" i="4" l="1"/>
  <c r="U112" i="4"/>
  <c r="P112" i="4"/>
  <c r="Q111" i="4"/>
  <c r="U113" i="4" l="1"/>
  <c r="T114" i="4"/>
  <c r="Q112" i="4"/>
  <c r="P113" i="4"/>
  <c r="T115" i="4" l="1"/>
  <c r="U114" i="4"/>
  <c r="Q113" i="4"/>
  <c r="P114" i="4"/>
  <c r="T116" i="4" l="1"/>
  <c r="U115" i="4"/>
  <c r="Q114" i="4"/>
  <c r="P115" i="4"/>
  <c r="U116" i="4" l="1"/>
  <c r="T117" i="4"/>
  <c r="P116" i="4"/>
  <c r="Q115" i="4"/>
  <c r="U117" i="4" l="1"/>
  <c r="T118" i="4"/>
  <c r="P117" i="4"/>
  <c r="Q116" i="4"/>
  <c r="T119" i="4" l="1"/>
  <c r="U118" i="4"/>
  <c r="P118" i="4"/>
  <c r="Q117" i="4"/>
  <c r="Q118" i="4" l="1"/>
  <c r="P119" i="4"/>
  <c r="T120" i="4"/>
  <c r="U119" i="4"/>
  <c r="P120" i="4" l="1"/>
  <c r="Q119" i="4"/>
  <c r="T121" i="4"/>
  <c r="U120" i="4"/>
  <c r="P121" i="4" l="1"/>
  <c r="Q120" i="4"/>
  <c r="U121" i="4"/>
  <c r="T122" i="4"/>
  <c r="P122" i="4" l="1"/>
  <c r="Q121" i="4"/>
  <c r="T123" i="4"/>
  <c r="U122" i="4"/>
  <c r="T124" i="4" l="1"/>
  <c r="U123" i="4"/>
  <c r="P123" i="4"/>
  <c r="Q122" i="4"/>
  <c r="P124" i="4" l="1"/>
  <c r="Q123" i="4"/>
  <c r="T125" i="4"/>
  <c r="U124" i="4"/>
  <c r="T126" i="4" l="1"/>
  <c r="U125" i="4"/>
  <c r="Q124" i="4"/>
  <c r="P125" i="4"/>
  <c r="T127" i="4" l="1"/>
  <c r="U126" i="4"/>
  <c r="P126" i="4"/>
  <c r="Q125" i="4"/>
  <c r="T128" i="4" l="1"/>
  <c r="U127" i="4"/>
  <c r="P127" i="4"/>
  <c r="Q126" i="4"/>
  <c r="U128" i="4" l="1"/>
  <c r="T129" i="4"/>
  <c r="P128" i="4"/>
  <c r="Q127" i="4"/>
  <c r="P129" i="4" l="1"/>
  <c r="Q128" i="4"/>
  <c r="T130" i="4"/>
  <c r="U129" i="4"/>
  <c r="T131" i="4" l="1"/>
  <c r="U130" i="4"/>
  <c r="P130" i="4"/>
  <c r="Q129" i="4"/>
  <c r="T132" i="4" l="1"/>
  <c r="U131" i="4"/>
  <c r="P131" i="4"/>
  <c r="Q130" i="4"/>
  <c r="T133" i="4" l="1"/>
  <c r="U132" i="4"/>
  <c r="P132" i="4"/>
  <c r="Q131" i="4"/>
  <c r="U133" i="4" l="1"/>
  <c r="T134" i="4"/>
  <c r="P133" i="4"/>
  <c r="Q132" i="4"/>
  <c r="T135" i="4" l="1"/>
  <c r="U134" i="4"/>
  <c r="P134" i="4"/>
  <c r="Q133" i="4"/>
  <c r="T136" i="4" l="1"/>
  <c r="U135" i="4"/>
  <c r="P135" i="4"/>
  <c r="Q134" i="4"/>
  <c r="U136" i="4" l="1"/>
  <c r="T137" i="4"/>
  <c r="P136" i="4"/>
  <c r="Q135" i="4"/>
  <c r="T138" i="4" l="1"/>
  <c r="U137" i="4"/>
  <c r="P137" i="4"/>
  <c r="Q136" i="4"/>
  <c r="Q137" i="4" l="1"/>
  <c r="P138" i="4"/>
  <c r="T139" i="4"/>
  <c r="U138" i="4"/>
  <c r="Q138" i="4" l="1"/>
  <c r="P139" i="4"/>
  <c r="T140" i="4"/>
  <c r="U139" i="4"/>
  <c r="Q139" i="4" l="1"/>
  <c r="P140" i="4"/>
  <c r="T141" i="4"/>
  <c r="U140" i="4"/>
  <c r="Q140" i="4" l="1"/>
  <c r="P141" i="4"/>
  <c r="T142" i="4"/>
  <c r="U141" i="4"/>
  <c r="Q141" i="4" l="1"/>
  <c r="P142" i="4"/>
  <c r="T143" i="4"/>
  <c r="U142" i="4"/>
  <c r="Q142" i="4" l="1"/>
  <c r="P143" i="4"/>
  <c r="T144" i="4"/>
  <c r="U143" i="4"/>
  <c r="P144" i="4" l="1"/>
  <c r="Q143" i="4"/>
  <c r="T145" i="4"/>
  <c r="U144" i="4"/>
  <c r="T146" i="4" l="1"/>
  <c r="U145" i="4"/>
  <c r="P145" i="4"/>
  <c r="Q144" i="4"/>
  <c r="P146" i="4" l="1"/>
  <c r="Q145" i="4"/>
  <c r="T147" i="4"/>
  <c r="U146" i="4"/>
  <c r="P147" i="4" l="1"/>
  <c r="Q146" i="4"/>
  <c r="T148" i="4"/>
  <c r="U147" i="4"/>
  <c r="P148" i="4" l="1"/>
  <c r="Q147" i="4"/>
  <c r="U148" i="4"/>
  <c r="T149" i="4"/>
  <c r="Q148" i="4" l="1"/>
  <c r="P149" i="4"/>
  <c r="U149" i="4"/>
  <c r="T150" i="4"/>
  <c r="T151" i="4" l="1"/>
  <c r="U151" i="4" s="1"/>
  <c r="U150" i="4"/>
  <c r="P150" i="4"/>
  <c r="Q149" i="4"/>
  <c r="U42" i="4" l="1"/>
  <c r="U46" i="4" s="1"/>
  <c r="P151" i="4"/>
  <c r="Q151" i="4" s="1"/>
  <c r="Q150" i="4"/>
  <c r="Q42" i="4" l="1"/>
  <c r="Q46" i="4" s="1"/>
  <c r="U44" i="4"/>
  <c r="Q44" i="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enrique.gonzalez</author>
  </authors>
  <commentList>
    <comment ref="CB5" authorId="0" shapeId="0" xr:uid="{00000000-0006-0000-0500-000001000000}">
      <text>
        <r>
          <rPr>
            <b/>
            <sz val="9"/>
            <color indexed="81"/>
            <rFont val="Tahoma"/>
            <family val="2"/>
          </rPr>
          <t xml:space="preserve">enrique.gonzalez:
</t>
        </r>
        <r>
          <rPr>
            <sz val="9"/>
            <color indexed="81"/>
            <rFont val="Tahoma"/>
            <family val="2"/>
          </rPr>
          <t>Min Limit from "Repair (Manhours)" - OREDA 2002</t>
        </r>
      </text>
    </comment>
    <comment ref="CC5" authorId="0" shapeId="0" xr:uid="{00000000-0006-0000-0500-000002000000}">
      <text>
        <r>
          <rPr>
            <b/>
            <sz val="9"/>
            <color indexed="81"/>
            <rFont val="Tahoma"/>
            <family val="2"/>
          </rPr>
          <t xml:space="preserve">enrique.gonzalez:
</t>
        </r>
        <r>
          <rPr>
            <sz val="9"/>
            <color indexed="81"/>
            <rFont val="Tahoma"/>
            <family val="2"/>
          </rPr>
          <t>Mean from "Active Rep." - OREDA 2009</t>
        </r>
      </text>
    </comment>
    <comment ref="CD5" authorId="0" shapeId="0" xr:uid="{00000000-0006-0000-0500-000003000000}">
      <text>
        <r>
          <rPr>
            <b/>
            <sz val="9"/>
            <color indexed="81"/>
            <rFont val="Tahoma"/>
            <family val="2"/>
          </rPr>
          <t xml:space="preserve">enrique.gonzalez:
</t>
        </r>
        <r>
          <rPr>
            <sz val="9"/>
            <color indexed="81"/>
            <rFont val="Tahoma"/>
            <family val="2"/>
          </rPr>
          <t>Max Limit from "Active Rep." - OREDA 2009</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evelyn.cordova</author>
  </authors>
  <commentList>
    <comment ref="K44" authorId="0" shapeId="0" xr:uid="{00000000-0006-0000-0700-000001000000}">
      <text>
        <r>
          <rPr>
            <b/>
            <sz val="9"/>
            <color indexed="81"/>
            <rFont val="Tahoma"/>
            <family val="2"/>
          </rPr>
          <t>evelyn.cordova:</t>
        </r>
        <r>
          <rPr>
            <sz val="9"/>
            <color indexed="81"/>
            <rFont val="Tahoma"/>
            <family val="2"/>
          </rPr>
          <t xml:space="preserve">
Se modificò con n failure/n/t
</t>
        </r>
      </text>
    </comment>
    <comment ref="K45" authorId="0" shapeId="0" xr:uid="{00000000-0006-0000-0700-000002000000}">
      <text>
        <r>
          <rPr>
            <b/>
            <sz val="9"/>
            <color indexed="81"/>
            <rFont val="Tahoma"/>
            <family val="2"/>
          </rPr>
          <t>evelyn.cordova:</t>
        </r>
        <r>
          <rPr>
            <sz val="9"/>
            <color indexed="81"/>
            <rFont val="Tahoma"/>
            <family val="2"/>
          </rPr>
          <t xml:space="preserve">
Se modificò con n failure/n/t</t>
        </r>
      </text>
    </comment>
    <comment ref="K52" authorId="0" shapeId="0" xr:uid="{00000000-0006-0000-0700-000003000000}">
      <text>
        <r>
          <rPr>
            <b/>
            <sz val="9"/>
            <color indexed="81"/>
            <rFont val="Tahoma"/>
            <family val="2"/>
          </rPr>
          <t>evelyn.cordova:</t>
        </r>
        <r>
          <rPr>
            <sz val="9"/>
            <color indexed="81"/>
            <rFont val="Tahoma"/>
            <family val="2"/>
          </rPr>
          <t xml:space="preserve">
Se modificò con n failure / n/t</t>
        </r>
      </text>
    </comment>
    <comment ref="K55" authorId="0" shapeId="0" xr:uid="{00000000-0006-0000-0700-000004000000}">
      <text>
        <r>
          <rPr>
            <b/>
            <sz val="9"/>
            <color indexed="81"/>
            <rFont val="Tahoma"/>
            <family val="2"/>
          </rPr>
          <t>evelyn.cordova:</t>
        </r>
        <r>
          <rPr>
            <sz val="9"/>
            <color indexed="81"/>
            <rFont val="Tahoma"/>
            <family val="2"/>
          </rPr>
          <t xml:space="preserve">
Estimacion mejorada a partir de las fallas y el n/t
</t>
        </r>
      </text>
    </comment>
    <comment ref="K379" authorId="0" shapeId="0" xr:uid="{00000000-0006-0000-0700-000005000000}">
      <text>
        <r>
          <rPr>
            <b/>
            <sz val="9"/>
            <color indexed="81"/>
            <rFont val="Tahoma"/>
            <family val="2"/>
          </rPr>
          <t>evelyn.cordova:</t>
        </r>
        <r>
          <rPr>
            <sz val="9"/>
            <color indexed="81"/>
            <rFont val="Tahoma"/>
            <family val="2"/>
          </rPr>
          <t xml:space="preserve">
se modifico con n failure / n/t</t>
        </r>
      </text>
    </comment>
    <comment ref="K413" authorId="0" shapeId="0" xr:uid="{00000000-0006-0000-0700-000006000000}">
      <text>
        <r>
          <rPr>
            <b/>
            <sz val="9"/>
            <color indexed="81"/>
            <rFont val="Tahoma"/>
            <family val="2"/>
          </rPr>
          <t>evelyn.cordova:</t>
        </r>
        <r>
          <rPr>
            <sz val="9"/>
            <color indexed="81"/>
            <rFont val="Tahoma"/>
            <family val="2"/>
          </rPr>
          <t xml:space="preserve">
Se modifico con n failure /n/t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enrique.gonzalez</author>
  </authors>
  <commentList>
    <comment ref="F11" authorId="0" shapeId="0" xr:uid="{00000000-0006-0000-0800-000001000000}">
      <text>
        <r>
          <rPr>
            <b/>
            <sz val="9"/>
            <color indexed="81"/>
            <rFont val="Tahoma"/>
            <family val="2"/>
          </rPr>
          <t xml:space="preserve">enrique.gonzalez:
</t>
        </r>
        <r>
          <rPr>
            <sz val="9"/>
            <color indexed="81"/>
            <rFont val="Tahoma"/>
            <family val="2"/>
          </rPr>
          <t>Min Limit from "Repair (Manhours)" - OREDA 2002</t>
        </r>
      </text>
    </comment>
    <comment ref="G11" authorId="0" shapeId="0" xr:uid="{00000000-0006-0000-0800-000002000000}">
      <text>
        <r>
          <rPr>
            <b/>
            <sz val="9"/>
            <color indexed="81"/>
            <rFont val="Tahoma"/>
            <family val="2"/>
          </rPr>
          <t xml:space="preserve">enrique.gonzalez:
</t>
        </r>
        <r>
          <rPr>
            <sz val="9"/>
            <color indexed="81"/>
            <rFont val="Tahoma"/>
            <family val="2"/>
          </rPr>
          <t>Mean from "Active Rep." - OREDA 2009</t>
        </r>
      </text>
    </comment>
    <comment ref="H11" authorId="0" shapeId="0" xr:uid="{00000000-0006-0000-0800-000003000000}">
      <text>
        <r>
          <rPr>
            <b/>
            <sz val="9"/>
            <color indexed="81"/>
            <rFont val="Tahoma"/>
            <family val="2"/>
          </rPr>
          <t xml:space="preserve">enrique.gonzalez:
</t>
        </r>
        <r>
          <rPr>
            <sz val="9"/>
            <color indexed="81"/>
            <rFont val="Tahoma"/>
            <family val="2"/>
          </rPr>
          <t>Max Limit from "Active Rep." - OREDA 2009</t>
        </r>
      </text>
    </comment>
    <comment ref="D157" authorId="0" shapeId="0" xr:uid="{00000000-0006-0000-0800-000004000000}">
      <text>
        <r>
          <rPr>
            <b/>
            <sz val="9"/>
            <color indexed="81"/>
            <rFont val="Tahoma"/>
            <family val="2"/>
          </rPr>
          <t>enrique.gonzalez:</t>
        </r>
        <r>
          <rPr>
            <sz val="9"/>
            <color indexed="81"/>
            <rFont val="Tahoma"/>
            <family val="2"/>
          </rPr>
          <t xml:space="preserve">
OREDA 3.2.8.2</t>
        </r>
      </text>
    </comment>
    <comment ref="D158" authorId="0" shapeId="0" xr:uid="{00000000-0006-0000-0800-000005000000}">
      <text>
        <r>
          <rPr>
            <b/>
            <sz val="9"/>
            <color indexed="81"/>
            <rFont val="Tahoma"/>
            <family val="2"/>
          </rPr>
          <t>enrique.gonzalez:</t>
        </r>
        <r>
          <rPr>
            <sz val="9"/>
            <color indexed="81"/>
            <rFont val="Tahoma"/>
            <family val="2"/>
          </rPr>
          <t xml:space="preserve">
OREDA 3.2.8.2</t>
        </r>
      </text>
    </comment>
  </commentList>
</comments>
</file>

<file path=xl/sharedStrings.xml><?xml version="1.0" encoding="utf-8"?>
<sst xmlns="http://schemas.openxmlformats.org/spreadsheetml/2006/main" count="5539" uniqueCount="1392">
  <si>
    <t>TAG</t>
  </si>
  <si>
    <t>C-0100-A</t>
  </si>
  <si>
    <t>CM-0100-A</t>
  </si>
  <si>
    <t>C-0100-B</t>
  </si>
  <si>
    <t>CM-0100-B</t>
  </si>
  <si>
    <t>F-0110-A</t>
  </si>
  <si>
    <t>F-0110-B</t>
  </si>
  <si>
    <t>V-0100</t>
  </si>
  <si>
    <t>V-0120-A</t>
  </si>
  <si>
    <t>V-0120-B</t>
  </si>
  <si>
    <t>F-0125-A</t>
  </si>
  <si>
    <t>F-0125-B</t>
  </si>
  <si>
    <t>V-0110</t>
  </si>
  <si>
    <t>G-0480-A</t>
  </si>
  <si>
    <t>G-0480-B</t>
  </si>
  <si>
    <t>G-0480-C</t>
  </si>
  <si>
    <t>G-0480-D</t>
  </si>
  <si>
    <t>SWG-410</t>
  </si>
  <si>
    <t>MCC-410</t>
  </si>
  <si>
    <t>MCC-420</t>
  </si>
  <si>
    <t>MAIN-PCS-PANEL</t>
  </si>
  <si>
    <t>RIO 01</t>
  </si>
  <si>
    <t>RIO 02</t>
  </si>
  <si>
    <t>RIO 03</t>
  </si>
  <si>
    <t>RIO 04</t>
  </si>
  <si>
    <t>RIO 05</t>
  </si>
  <si>
    <t>RIO 06</t>
  </si>
  <si>
    <t>MCC 0420</t>
  </si>
  <si>
    <t>SWITCHGEAR PLC</t>
  </si>
  <si>
    <t>V-1100</t>
  </si>
  <si>
    <t>ESDV-1100</t>
  </si>
  <si>
    <t>BDV-1101</t>
  </si>
  <si>
    <t>ESDV-5100</t>
  </si>
  <si>
    <t>ESDV-3110</t>
  </si>
  <si>
    <t>E-5110</t>
  </si>
  <si>
    <t>ESDV-5130</t>
  </si>
  <si>
    <t>E-5120</t>
  </si>
  <si>
    <t>ESDV-5120</t>
  </si>
  <si>
    <t>V-5130</t>
  </si>
  <si>
    <t>BDV-5131</t>
  </si>
  <si>
    <t>ESDV-5132</t>
  </si>
  <si>
    <t>ESDV-1200</t>
  </si>
  <si>
    <t>E-5010</t>
  </si>
  <si>
    <t>V-1200</t>
  </si>
  <si>
    <t>ESDV-1202</t>
  </si>
  <si>
    <t>BDV-1201</t>
  </si>
  <si>
    <t>ESDV-5200</t>
  </si>
  <si>
    <t>E-5210</t>
  </si>
  <si>
    <t>E-5220</t>
  </si>
  <si>
    <t>ESDV-5220</t>
  </si>
  <si>
    <t>ESDV-3210</t>
  </si>
  <si>
    <t>V-5230</t>
  </si>
  <si>
    <t>BDV-5231</t>
  </si>
  <si>
    <t>ESDV-5230</t>
  </si>
  <si>
    <t>ESDV-5232</t>
  </si>
  <si>
    <t>ESDV-5024</t>
  </si>
  <si>
    <t>ESDV-5020</t>
  </si>
  <si>
    <t>V-5020</t>
  </si>
  <si>
    <t>BDV-5021</t>
  </si>
  <si>
    <t>EDSV-5022</t>
  </si>
  <si>
    <t>ESDV-5021</t>
  </si>
  <si>
    <t>ESDV-5023</t>
  </si>
  <si>
    <t>V-5050</t>
  </si>
  <si>
    <t>BDV-5055</t>
  </si>
  <si>
    <t>ESDV-5052</t>
  </si>
  <si>
    <t>ESDV-5053</t>
  </si>
  <si>
    <t>ESDV-5054</t>
  </si>
  <si>
    <t>F-7010</t>
  </si>
  <si>
    <t>T-7000</t>
  </si>
  <si>
    <t>BDV-7002</t>
  </si>
  <si>
    <t>ESDV-7000</t>
  </si>
  <si>
    <t>E-7020</t>
  </si>
  <si>
    <t>V-2105</t>
  </si>
  <si>
    <t>V-2110</t>
  </si>
  <si>
    <t>ESDV-2105</t>
  </si>
  <si>
    <t>C-2100</t>
  </si>
  <si>
    <t>V-2115</t>
  </si>
  <si>
    <t>AC-2120</t>
  </si>
  <si>
    <t>V-2125</t>
  </si>
  <si>
    <t>V-2130</t>
  </si>
  <si>
    <t>V-2205</t>
  </si>
  <si>
    <t>V-2135</t>
  </si>
  <si>
    <t>AC-2140</t>
  </si>
  <si>
    <t>ESDV-2125</t>
  </si>
  <si>
    <t>V-2145</t>
  </si>
  <si>
    <t>V-2150</t>
  </si>
  <si>
    <t>V-2155</t>
  </si>
  <si>
    <t>ESDV-2145</t>
  </si>
  <si>
    <t>AC-2160</t>
  </si>
  <si>
    <t>V-2170</t>
  </si>
  <si>
    <t>V-2175</t>
  </si>
  <si>
    <t>ESDV-2165</t>
  </si>
  <si>
    <t>AC-2180</t>
  </si>
  <si>
    <t>BDV-2101</t>
  </si>
  <si>
    <t>ESDV-2100</t>
  </si>
  <si>
    <t>V-2210</t>
  </si>
  <si>
    <t>ESDV-2205</t>
  </si>
  <si>
    <t>C-2200</t>
  </si>
  <si>
    <t>V-2215</t>
  </si>
  <si>
    <t>AC-2220</t>
  </si>
  <si>
    <t>V-2225</t>
  </si>
  <si>
    <t>V-2230</t>
  </si>
  <si>
    <t>ESDV-2225</t>
  </si>
  <si>
    <t>V-2235</t>
  </si>
  <si>
    <t>AC-2240</t>
  </si>
  <si>
    <t>V-2245</t>
  </si>
  <si>
    <t>V-2250</t>
  </si>
  <si>
    <t>V-2255</t>
  </si>
  <si>
    <t>ESDV-2245</t>
  </si>
  <si>
    <t>AC-2260</t>
  </si>
  <si>
    <t>V-2265</t>
  </si>
  <si>
    <t>V-2270</t>
  </si>
  <si>
    <t>V-2275</t>
  </si>
  <si>
    <t>ESDV-2265</t>
  </si>
  <si>
    <t>AC-2280</t>
  </si>
  <si>
    <t>BDV-2201</t>
  </si>
  <si>
    <t>ESDV-2200</t>
  </si>
  <si>
    <t>E-3010</t>
  </si>
  <si>
    <t>T-3015</t>
  </si>
  <si>
    <t>D-3030</t>
  </si>
  <si>
    <t>E-3015</t>
  </si>
  <si>
    <t>ESDV-3015</t>
  </si>
  <si>
    <t>E-3020</t>
  </si>
  <si>
    <t>E-3021-A/B</t>
  </si>
  <si>
    <t>P-3080A</t>
  </si>
  <si>
    <t>P-3080B</t>
  </si>
  <si>
    <t>V-3040</t>
  </si>
  <si>
    <t>ESDV-5511</t>
  </si>
  <si>
    <t>BL-0535</t>
  </si>
  <si>
    <t>BL-0545</t>
  </si>
  <si>
    <t>H-0530</t>
  </si>
  <si>
    <t>ESDV-7020</t>
  </si>
  <si>
    <t>V-0500</t>
  </si>
  <si>
    <t>P-0510A</t>
  </si>
  <si>
    <t>P-0510B</t>
  </si>
  <si>
    <t>F-0520</t>
  </si>
  <si>
    <t>TK-0550</t>
  </si>
  <si>
    <t>P-0560</t>
  </si>
  <si>
    <t>ESDV-1006</t>
  </si>
  <si>
    <t>ESDV-5000</t>
  </si>
  <si>
    <t>H-5010A</t>
  </si>
  <si>
    <t>H-5010B</t>
  </si>
  <si>
    <t>F-5030A</t>
  </si>
  <si>
    <t>F-5030B</t>
  </si>
  <si>
    <t>BDV-5032</t>
  </si>
  <si>
    <t>V-9010</t>
  </si>
  <si>
    <t>P-9015-A</t>
  </si>
  <si>
    <t>P-9015-B</t>
  </si>
  <si>
    <t>V-9020</t>
  </si>
  <si>
    <t>P-9025-A</t>
  </si>
  <si>
    <t>P-9025-B</t>
  </si>
  <si>
    <t>ON-230-1-VN-001</t>
  </si>
  <si>
    <t>ON-230-1-PA-001-A</t>
  </si>
  <si>
    <t>ON-230-1-PA-001-S</t>
  </si>
  <si>
    <t>ON-230-1-YQ-001</t>
  </si>
  <si>
    <t>ON-230-1-VN-002</t>
  </si>
  <si>
    <t>ON-230-1-PA-002-A</t>
  </si>
  <si>
    <t>ON-230-1-PA-002-S</t>
  </si>
  <si>
    <t>ON-230-1-YQ-002</t>
  </si>
  <si>
    <t>Description</t>
  </si>
  <si>
    <t>Compressor B</t>
  </si>
  <si>
    <t>Compressor Motor B</t>
  </si>
  <si>
    <t>Air  Filter B</t>
  </si>
  <si>
    <t>Air Receiver</t>
  </si>
  <si>
    <t>Instrument Air Dryer  A</t>
  </si>
  <si>
    <t>Instrument Air Dryer  B</t>
  </si>
  <si>
    <t>Dry Air Filter A</t>
  </si>
  <si>
    <t>Dry Air Filter B</t>
  </si>
  <si>
    <t>Natural Gas Generator B</t>
  </si>
  <si>
    <t>Natural Gas Generator C</t>
  </si>
  <si>
    <t>Natural Gas Generator D</t>
  </si>
  <si>
    <t>Switchgear 410</t>
  </si>
  <si>
    <t>Motor Control Center 410</t>
  </si>
  <si>
    <t>Motor Control Center 420</t>
  </si>
  <si>
    <t>Firefighting Water Tank</t>
  </si>
  <si>
    <t>Fire Water Diesel Water Pump A</t>
  </si>
  <si>
    <t xml:space="preserve">Fire Water Diesel Water Pump B </t>
  </si>
  <si>
    <t xml:space="preserve">Fire Water Diesel Water Pump S </t>
  </si>
  <si>
    <t xml:space="preserve">Main Pcs panel </t>
  </si>
  <si>
    <t>Panel EPS area 1</t>
  </si>
  <si>
    <t>Panel EPS area 2</t>
  </si>
  <si>
    <t>Battery limit/ Slug catcher</t>
  </si>
  <si>
    <t>Condensate Tank</t>
  </si>
  <si>
    <t>Pig Traps</t>
  </si>
  <si>
    <t>Flare</t>
  </si>
  <si>
    <t>MCC LINEUP 0420</t>
  </si>
  <si>
    <t>Switchgear PLC</t>
  </si>
  <si>
    <t>Blowdown Valve</t>
  </si>
  <si>
    <t>Gas/Liquid Exchanger</t>
  </si>
  <si>
    <t xml:space="preserve">Cold Separator </t>
  </si>
  <si>
    <t>Cold Condensate Heater</t>
  </si>
  <si>
    <t>Condensate Filter</t>
  </si>
  <si>
    <t>Stabilizer</t>
  </si>
  <si>
    <t>Stabilizer Reboiler</t>
  </si>
  <si>
    <t>Gas Compressor 1st St. Suct. Scrubber</t>
  </si>
  <si>
    <t>1 ST Stage Suction Bottle</t>
  </si>
  <si>
    <t>Recycle Compressor</t>
  </si>
  <si>
    <t>1 St Stage Discharge Suction Bottle</t>
  </si>
  <si>
    <t>Gas Compressor 2nd St. Suct. Scrubber</t>
  </si>
  <si>
    <t>2 Nd Stage Suction Bottle</t>
  </si>
  <si>
    <t>2 Nd Stage Discharge Suction Bottle</t>
  </si>
  <si>
    <t>Gas Compressor 2nd St. Intercooler</t>
  </si>
  <si>
    <t>Gas Compressor 3rd St. Suct. Scrubber</t>
  </si>
  <si>
    <t>3 Rd Stage Suction Bottle</t>
  </si>
  <si>
    <t>3 Rt Stage Discharge Suction Bottle</t>
  </si>
  <si>
    <t>Gas Compressor 3rd St. Intercooler</t>
  </si>
  <si>
    <t>Gas Compressor 4th St. Suct. Scrubber</t>
  </si>
  <si>
    <t>4 Th Stage Suction Bottle</t>
  </si>
  <si>
    <t>4 Th Discharge Suction Bottle</t>
  </si>
  <si>
    <t>Gas Compressor 4 th St. Intercooler</t>
  </si>
  <si>
    <t>Gas Compressor 1st St. Intercooler</t>
  </si>
  <si>
    <t>Gas Compressor 4th St. Aftercooler</t>
  </si>
  <si>
    <t>Glycol Condenser</t>
  </si>
  <si>
    <t>Glycol Regenerator</t>
  </si>
  <si>
    <t>Glycol Reboiler</t>
  </si>
  <si>
    <t xml:space="preserve">Exchanger </t>
  </si>
  <si>
    <t>Glycol Pump</t>
  </si>
  <si>
    <t>Glycol Flash Tank</t>
  </si>
  <si>
    <t>Combustion Air Blowers</t>
  </si>
  <si>
    <t>Hot Oil Heater</t>
  </si>
  <si>
    <t>Hot Oil Expansion Tank</t>
  </si>
  <si>
    <t>Hot Oil Pumps</t>
  </si>
  <si>
    <t>Hot Oil Drain Tank</t>
  </si>
  <si>
    <t>Hot Oil Sump Pump</t>
  </si>
  <si>
    <t>Fuel Gas Heater</t>
  </si>
  <si>
    <t>Fuel Gas Filter Separator</t>
  </si>
  <si>
    <t>Condensate Pumps</t>
  </si>
  <si>
    <t>HP Flare K.O Drum</t>
  </si>
  <si>
    <t>HP Flare K.O Drum Pump A</t>
  </si>
  <si>
    <t>HP Flare K.O Drum Pump B</t>
  </si>
  <si>
    <t>LP Flare K.O Drum</t>
  </si>
  <si>
    <t>LP Flare K.O Drum Pump A</t>
  </si>
  <si>
    <t>LP Flare K.O Drum Pump B</t>
  </si>
  <si>
    <t xml:space="preserve">LP Flare Pump A </t>
  </si>
  <si>
    <t>LP Flare Pump S</t>
  </si>
  <si>
    <t>LP Flare Package</t>
  </si>
  <si>
    <t xml:space="preserve">HP Flare Pump A </t>
  </si>
  <si>
    <t>HP Flare Pump S</t>
  </si>
  <si>
    <t>HP Flare Package</t>
  </si>
  <si>
    <t>Source</t>
  </si>
  <si>
    <t>ON-730-0-TA-001</t>
  </si>
  <si>
    <t>ON-730-0-PA-001-A</t>
  </si>
  <si>
    <t>ON-730-0-PA-001-B</t>
  </si>
  <si>
    <t>ON-730-0-PA-001-S</t>
  </si>
  <si>
    <t>V-2165</t>
  </si>
  <si>
    <t>ESDV_8000_A</t>
  </si>
  <si>
    <t>ESDV_TK_8000_B</t>
  </si>
  <si>
    <t>P-8000A</t>
  </si>
  <si>
    <t>P-8000B</t>
  </si>
  <si>
    <t>ESDV_L_1000_C</t>
  </si>
  <si>
    <t>ESDV_TK_D</t>
  </si>
  <si>
    <t>1.1</t>
  </si>
  <si>
    <t>3.2.1</t>
  </si>
  <si>
    <t>3.2.2</t>
  </si>
  <si>
    <t>3.2</t>
  </si>
  <si>
    <t>3.2.7</t>
  </si>
  <si>
    <t>2.1</t>
  </si>
  <si>
    <t>1.3.1</t>
  </si>
  <si>
    <t>4.5.1.4</t>
  </si>
  <si>
    <t>3.2.8.3</t>
  </si>
  <si>
    <t>4.4.2</t>
  </si>
  <si>
    <t>3.1.3.3</t>
  </si>
  <si>
    <t>3.1.3.2</t>
  </si>
  <si>
    <t>3.1</t>
  </si>
  <si>
    <t>3.2.4</t>
  </si>
  <si>
    <t>3.2.1.1</t>
  </si>
  <si>
    <t>3.1.1</t>
  </si>
  <si>
    <t>1.3</t>
  </si>
  <si>
    <t>3.3</t>
  </si>
  <si>
    <t>population</t>
  </si>
  <si>
    <t>Installation</t>
  </si>
  <si>
    <t>calendar time</t>
  </si>
  <si>
    <t>Failure Modes</t>
  </si>
  <si>
    <t xml:space="preserve">N of Failures </t>
  </si>
  <si>
    <t>LOWER</t>
  </si>
  <si>
    <t xml:space="preserve">MEAN </t>
  </si>
  <si>
    <t>UPPER</t>
  </si>
  <si>
    <t>N/T</t>
  </si>
  <si>
    <t xml:space="preserve">Min </t>
  </si>
  <si>
    <t>Mean</t>
  </si>
  <si>
    <t>Max</t>
  </si>
  <si>
    <t>SD</t>
  </si>
  <si>
    <t>op time</t>
  </si>
  <si>
    <t xml:space="preserve">Valves </t>
  </si>
  <si>
    <t>Heat Exchangers</t>
  </si>
  <si>
    <t>Compressors</t>
  </si>
  <si>
    <t>Vessels</t>
  </si>
  <si>
    <t>Type</t>
  </si>
  <si>
    <t>Source Taxonomy</t>
  </si>
  <si>
    <t xml:space="preserve">Equipment type </t>
  </si>
  <si>
    <t xml:space="preserve">Reliability  Information </t>
  </si>
  <si>
    <t xml:space="preserve">Data source </t>
  </si>
  <si>
    <t xml:space="preserve">Source Taxonomy </t>
  </si>
  <si>
    <t xml:space="preserve">Population </t>
  </si>
  <si>
    <r>
      <t>Aggregated time in service (10</t>
    </r>
    <r>
      <rPr>
        <b/>
        <vertAlign val="superscript"/>
        <sz val="11"/>
        <color theme="1"/>
        <rFont val="Arial"/>
        <family val="2"/>
      </rPr>
      <t xml:space="preserve">6 </t>
    </r>
    <r>
      <rPr>
        <b/>
        <sz val="11"/>
        <color theme="1"/>
        <rFont val="Arial"/>
        <family val="2"/>
      </rPr>
      <t>hours)</t>
    </r>
  </si>
  <si>
    <t>Calendar time</t>
  </si>
  <si>
    <t>Operational time</t>
  </si>
  <si>
    <t>No. of Failures</t>
  </si>
  <si>
    <r>
      <t>Failure rate (Per 10</t>
    </r>
    <r>
      <rPr>
        <b/>
        <vertAlign val="superscript"/>
        <sz val="11"/>
        <color theme="1"/>
        <rFont val="Arial"/>
        <family val="2"/>
      </rPr>
      <t>6</t>
    </r>
    <r>
      <rPr>
        <b/>
        <sz val="11"/>
        <color theme="1"/>
        <rFont val="Arial"/>
        <family val="2"/>
      </rPr>
      <t xml:space="preserve"> hours)</t>
    </r>
  </si>
  <si>
    <t xml:space="preserve">Lower </t>
  </si>
  <si>
    <t xml:space="preserve">Mean </t>
  </si>
  <si>
    <t>Upper</t>
  </si>
  <si>
    <t xml:space="preserve">SD </t>
  </si>
  <si>
    <t xml:space="preserve">   </t>
  </si>
  <si>
    <t>Variance</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</si>
  <si>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</si>
  <si>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</si>
  <si>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</si>
  <si>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</si>
  <si>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</si>
  <si>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</si>
  <si>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</si>
  <si>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</si>
  <si>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</si>
  <si>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</si>
  <si>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</si>
  <si>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</si>
  <si>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4521cbdc-da8d-4e7e-982f-25b6cc139572</t>
  </si>
  <si>
    <t>CB_Block_7.0.0.0:1</t>
  </si>
  <si>
    <t>㜸〱捤㔹摢㡦ㅢ㔷ㅤ昶戱㍤㘳㡦扤ㄷ户㥢㐲㘹搳戲㠱㐶愵摤挸散㙥戲㐹㑢ㄵ㈵㝢敦㈶㥢㑢攳㑤挲慤㜵挷昶㤹㜸扡㌳㥥敤捣㜸㉦戴戴㐱㐸ㄵㄲ㉡慤㉡㐰㠵㔲慡㑡㐸㐸〸㔴〱㔲摦愸㠴㜸㐱挰ぢ㠲ㄷ㔰〵㍣㈰㤰㄰て改㕦㄰扥敦捣㜸搷昶㝡㌷摢㌴㐸㌹㠹㝦㜳收㕣㝥㜳㝥搷昳㥤戳〹㤱㐸㈴慥愳昰挹㤲㘶㘵㝦㘹㈳〸愵㕢㥣昶ㅣ㐷㔶㐳摢㙢〴挵㐹摦㌷㌷ㄶ敤㈰㑣㘱㠰㕥戶搱ㅦ㘸攵挰晥㡡捣㤶㔷愵ㅦ㘰㤰㤶㐸㘴戳㐶ㄲ晤慤㕦愱㔵㌱㌸换㐸㠳昴㘱㔴㘲㘹㝡敡㕣攵ㄹ戰㉥㠵㥥㉦てつ㕦㡡ㄸㅣㅦㅢ㉢㡥ㄵ挷ㅦㅤ㍦㕡ㅣ㍤㌴㍣摤㜴挲愶㉦㡦㌷㘴㌳昴㑤攷搰昰昹㘶挵戱慢愷攵挶㤲户㉣ㅢ挷㘵㘵昴㜰挵㍣昲挸搸㤱㠹〹敢搱㐷ㅦ改搳挱昹散昴搴㜹㕦㕡挱慤攲㤹㈱捦㜳搳㔳挵戳㌲扣㔵㍣戳攰〹㤶㌳㥥㙢摡㡤㕢挴㔴愳㠲㈷㘶㘴搵愶㈵愴昴敤挶㤵㈲㤶摤愱㘸扣ㅤ㉢㑥〶㐱搳㕤愱㔱愷愵攳㕣㤰ㄶ㤷㘳戸㌳㐱㜸摥昴摤愰捦愵晥愴㉦ㅢ㔵ㄹっ戸戳敢㔵改挴〳㠳慣㝢挹昴捦㥡慥㑣戳㌲攸㐶㌶㕣愸挹㐶㘸㠷ㅢ晤敥挵㐰㕥㌰ㅢ㔷㈴㠷㘸敥㝣搳慥㠹㜴ㅡ晦ㄳ愹〷㝢慤㑣ㄹち敢㜱愷敢愶ㅦ慡㌷㥡㜰慣搷搸㌶㜷㔱㔲㜴慣㡢㉥㌵摣㌵㡢㌶㉢搹敥㘹改㌷愴挳㡦搰㤲㈳㕤㠳㤴㠲㈲㍢㙣㙡慡㈵づ搵㈲昲㜱㈴㔰ㄶ㝥㐵㌷㐰㐶攷㑤搷㌵て㉤㝡㔵㤳㙡㍣㍥㝡愸㔴㌵ㅤ㜹㝣散㔸㜱㙣㝣㜴散㔰愹㙥慥挸攳愳挵愳㐷挶㈷挶㐷㐷㈷挶㡤ㅣ㘶ㄹ㜹捥敦〳㐹捤㡥ㅤ㌳晡搹㌴〰㈲搲ㅦ㈰晥摡㍦挴㠱挹戲㤹㉣㔷㤲攵㙡戲㕣㑢㤶㘵戲㙣㈵换㔷㤲攵㝡戲㙣㈷换捦㈴换换ㄸ搳㉡搹㑣㈶ㄹ㤷扦扣㜳㌰搸晦㔴收摣㑦昵晤㤹㤳㍦扦昰㤴㘰挸愹㠸㉤愰㌲戲挳挲挷㡦ㅥ㈹㡥ㅦㅥ㡦ㄷ㍥㕥挴慡㡦ㅡ㜷㘰㠲㜱㈷㠸㍥㐴ㅥ愷戰收㝤㙣扡ぢ㐴㠸晦㘰捤㕣㜷㘹敡搵慦㥥㕡㕦㕡昸搹㠱愱昷ㅦ慣晦攲㜰摦挷搱晤㐴慣戵ㄹ摦㕣㠳ㅦ㙥戹昸㜸㜱㤴晦㙥ㅣ摢〸㙤㙢挲㍡㘶㡤㡤搵㈶㐶捤挳愶㐶つ敥搵㠹㈸㙡㥦㜵搹㙥搴扣㌵攵㔵晢愷捣㐰㙥㌹搹㐸摣㌷攵㌵ㅢ戵攰摥摥㥤愵搰っ攵㍤摤㝤㕢㑣戶㑤㉢㈱收㘴愰扥㜷㝦昷戴㑢愶搳㤴㤳敢㜶搴㝤㕦㔷㌷㈲捥慢散摣㍢攷换㘷㌷㝢户慤㘸ㄲ昹㜹㔵昱摥㈶㘵搴ㄵ慤㙢㜸扡敥〵戲愱㤶㌷攲㥥户慢换搲㉦㐹㘶㜷㔹㔳愲摥挵慥㌸散㐷捥㌵㈰㈸〲戹昶愹昶㔶㙢㜶㍤㤴㡤㥡慣㘱扤㉢搲て㌷㤶捣㡡㈳㍦搶㌱㈴晡㈶㍡㍥搱搱㍣攷㔵㥢挱戴搷〸㝤捦改散㤹慣慤㥡㐸㌵戵㌳㕥㑤㈲㔳愴㔹ㄲ㈲㤱㑡〹㤱㜸戸㔷戸㤲㙦㔰㔴㠶㘸㌳㌱ㄳ挷摤㥤㙥㔷扣〰改㈰㠵㈳改㤳挹〷㙥挰㑣昱㈵㥢㠷㜶ㅥ搸㈶ㄳ户㐲㡥晥捣捥愳搵ㅡ㌷㉤昷晦ㅤ㥣㑣づ挵搲捦慥㈲ㅤ㍦㙥㌶㙡㡥昴㜷摤挸〵㔷㘴摣つ愲晤ㅢ㤱扣愳昶㤸㐲挴扡搸搰搶散㕡㔸搷敢搲扥㔲て搱㠶捤㍥㥢愵㙡户ㄵ攳ㅥ㌴ㄹ昷㤲散〷挹攵ㄲ晡㝤ㅣ愴攷㡣晢愳㜷㡤㌹敥挳㈷㝡挲〹㐳㙤㉣㐰〱㠱收捥㜹㝥㤰㑡昵㤲昲㜱㌳愸㠷㜴捦㕤㍢㤹搲㡤㑦㤲っ㠳㘸捣挹㌷摣㐷〶㌱㈸捤敤戲摦㥤㤱㤶〹㤰愲愲㕢㤸㥡ㅢ敤㝢㌳㌲愸ㅡ摣㈰ㄷ㄰㉢敢㍡㙡〸晥㍥㤷摥㉦搷挳ㄹ㌳㌴㌳㉥戶㕡㔸挹挰愰ㄱ㌵㉢慡㜱㘶扦㙡㙢捤捥挵㙦攰㔰㔰搵㌶㉥㜹搵㄰㜱㐲攰㈰㕥ㄲ愹㤸敥㉥〴搶捥捤㔰敦㜶昴捥㉤ㄳ㍢㜹㙤㕥㌶㤶㌶㔶㘴挰攱㔹㝤㔷㔵㜶㠷ㄷ㤹㥤慢㔶㉥㠶戶ㄳㄴ戱搲㜹摦㙢慥摣㑡㍥攴㘵ㅣ〰㘹ㄵ敤㙦昰攲扤换㐴愰㥢㔹愵㙤捡攵㐴㤶摣搸㘲㜰㠳㌶攸慤㘰㜶ㅤて㔵㡣㠳㜸攴㜶敢搳戸㤵㝦ㄸ㜸㐱搷敢㜳愱愱㈵㕦㉡挰㤴㔵㉦搰㜶扦㝢搹昳㤷㉢㥥户㑣㝦ㅡ㔰㙦㐱㕤捡㤰㈰㈴ㅦ㠳㉥〵慥㠴㐸愵㍡㠰㐳ㅢ㕡㈱㝣搱ㅦ〲㈹㉣㜹㌵㉦ㄸ㜶昸戳㉢扥ㄷ攸て愳㌵〵㐴愴㡦愰㤲㌷ㅢ㜲摤ぢ㡡敢㑥戰㉥晥っ㤹戹慢扦晦晢〳戳㉦晦昵㠵戳慦㝦昶攰扢㝦ㄸ晡㡥㉦晥ㄴ㜷㙣挳ㄷ㐴〹ち摤ㄴ㔱ㄱ㝦挴㌰收ㄲ搴㍢㡢㌱㡡㜷㘳㡣㘴ㅣ〴ㄹ㐱改ㄸ〹攱㐸昴㉡㠸㌴㤸ㄴ㡣〹㤲愳㈰㠲㜰㐳挱愴㘳愸戴㡡昸㉤昸搳搲捡㕡㠴㈶摢慤昵ㄸ㕡㜳挶㉥㝤㠲㈰㠶ㄶ㌳愸㈱㠳ち㌱愸っ昱ㅥㄸ昷㔴挰慦攲㡥㙥扣愳㌱㝦㝥㠸㝤㑡㠹㘸㕤戲攵ㅡ〳㙢挰〲㘴㥥㙥〶愱愷戲㐰扦㌵攳㥤昵挲ㄹ㍢㔸㜱捣㡤㈱㉢慥㕣慥换〶昶㘸ㅦ㕢㜵㔷㥢户戲㈲㙢㠶㔵昲㥡㝥㔵㉥捣摣づ㝢㌸搴〱㍤慡敤㍢㈹㔰㙥㙥㕢〲ぢ〱㉦㐱㐹㘸摣㑣扡戳㡢〲敥㙤㐸㐰㔵㠹晢〶户㌴扡㘴㠷㡥捣㕢㙡ㄷ㔶昵慣〵㉤〲昸搴㌲搶㔲ㅤ㔱㌷搳㙦捤晢㜶捤戱ㅢ㤲挶搸ㄷつ㕤㤴㔷〰㜲捥㝢㠱㑤㜰摦㙦㉤昹㘶㈳㔸㘱扥慥㙥摣搹昱愶ㄲ扢㘶㑤搹㡤〰㥦㔱㔶㘴㝤搰㉡搵扤㌵㥣㥤㥢㙥㘳摥㕣〹㙥ぢ慢㌰㕡愲愲㑣㈳㤲㈲㤹ㄴ搹㘴昶㘶敤愳捦㠰摢㄰ㅣ㌴昴敤㑡戳㙡晦收㤷㡤㘱㜵扡㔰ㅦ㘱㡣愷㐹㤴つㄳㅡ愱㐰㜷㘶㙥㌳㘱ㄷ慣攲㕡㍢㡥愱㍤㜷昸捤ぢ〹〵㘳㘶㌹㘷づ攴搴晣挵㠵慤〳挷㐷扡㔰搰〸㕥昶㡣敦㔴㑡㠹㕣㠸㤸㡦ㅥ㠵挸㠴㈷昰慤摢㉤㜳㤶ㅡ㐳てㅤ搸慡捥〱㈲昴㔹㡢㘶㐵㍡㐰㌶慥ㄹづ㐴㉦㠴㤸慥改〴㜱摦戴㠷攳㈷㕤㡥挷㘶㜵昴捣㕡㤳捤搰㍢㘳㌷っぢ㐴昹㘵摣㘴慥愳挹㕣㡦㌰㠸㜵㠱㈷ㅥ㔵㈷㉦敦㡡改摢㘱摤戵慢㔹扥昰㔴㜲㕢昸㉡㠲㥦㤸戳㔵㕡戹愴ㅢ搴㐴搰〲收㉥攲ㅣ㐰搵搱晣昰攸愴搰昱㑦摣㈴㈰㐶攲㔱ㅢ㡡昱㌸戸㘹〴㥣㐸㘲搱㔲慥戵㙥挹慥扤㠸ㄶ㤵㥣〴昱㉣扢㡤㠵戸挲㤷㌴㈱攵慥㘸㠹㜰㈳户攸㤹戵㌹戳㡡㉢戰㑣㝣〱㤶㠵㘹㤹㙡晣〲昱敢㌴㡥㐴㌸㙡慤摡㌵改㘷搹㔰挲㙤㕢㥡挸㔷㡦㙣㠸㙤㍣㤵搰戴㝣戶搷户ㄶ㕡扣ㅥ㠸㔱㐱晢㙤摥挲㌶晥晦㝤攲㤱ㄳ㔸ㄴ挴㔲㕢搴㈹㔴㡤搳㈰㘲ㄸ㠴昲㜴つ㔸㐴㤳㜱〶㐴㍢〰搲㙤㥢㑥㈸〹挰挹㝢㤳戴扡㍡㈲挸捤〲㄰㉡㜴慣㈹㐱昲㙤愸㔶㡦〰㙤戶㜵ㅦ愵攳㌶挵㤷戵㕣㤴㕦㠹㥥㘹㡥㘴㌲つ㔳敢摤㌷〲摢㍥ぢ㘶㙥㐹㉡戸㉢愸㜳晤㉣㐸㥥挱〲晥㘵摥挳㜴㐳扤㕣捥㌸㡦㌱㠹㥣㈰收㙢〹㑥㝦㡣㌵昳〴慡挶〵㄰㐱挸挳敤㥦㉥㤲搰㑢㜸收㠸戵㡡㉡て㐶敥㐱搸挳晤㉢愱㉦㠱散㌵㕦ち〲㈵㜵㝣扡㠸㡡㘰㈲㘵㉡摡㜴捤换愸摦搸㌵㠹慣㤴㙢㝥㍥慥昰㐵㄰㕥戵愴㐲戵㈵搵ㄷ㔰㌵扥〸㈲〸扤㝡っ昸ㄲ〷㝣㤹〳㠸挶㘸㜳晤㐹㤰㑤㕤昲㝥愸㠷㉥换ㄸ〳㕤ㄲ㤱戵㤸戶改昲㘹㌴ㅢ㈶㠸㘰晥㔶㡢慤挴ㄵ㕥㕡㘹㡣挱㙥搷摡ㄶ昶㡡㥦挵〴㔰ち㌷ㅣ㈴㕤㔶改㙡㔱㡤㐱㤳㔳㙤〸〰捦挷〵㜷扡晢愸扢㌹㤷愷搹晣扥慥㙢〴㌵㡤㍤捣㉦摡㥢〰㠲㍢捥愷〴㕢㘷ち捥㘱搱㙢㈰晢捥搸㔵㠰㙦捦ち㠷㑢〰ㄴ挳扣㤶戱㜰㤷㌸愹扤〱㡥㍤扦㐹挱搲つ摥愵慥昲㤸㤲㕢㙥㜸㙢つ戵ㅡ㉤攰敤㤴搲㔷㈶挳捦㄰㠲慢昲㘹㘸戱挰㕣挴挹〶㍥㤰攸㑦ㄵㄸ捣㉣〵〶㌴㑢㠱搱换㔲㘰〴戳㘸㜴晡扤㠶ㄳ㜹㡢㡡愸㡡㥡㤰改㑣㐶ㅣ散扡〳搹ㄶ㠶㥢㠷㐸㕤㘷ㄴ㙡摦㠳挸㝢㥢搴愹㔱㑥收捦愸㤳搸㈰戹〲攳㔱摤㜰㍥㠳捡ㅤ搳㔳攵捥㕢㘹㝤ㄹ捤㝤㘸㔶㤹〶搷摤㠱敥愰㘵〰㉤㙤戰愳挰㠰㈶ㄷ挳㈵㔱㈹㤰㍡ㄵ㉡〰搹戴挲㌷晣㌸㐸㕣〶愱㙦㡡㔷㈰〸㍤〲昵㠴㐱㌳搳愲攲㘵戴搰慡㥤㔶㘱ㄸ㉡慢㠴愸挰㉡っ㌹㤶〲挳㡥愵挰ㄸ㘳㈹㌰捥㔸〴挳㠷㤶ㄱ摦〴㍢㙡㑤㐹扦㡡ㄶ㘳つ㈴㔷㜸ㅡ㔴慤㥢搲ㅢ㤴搵愰㜸〵戳搵晥ㅣ㥢敥㈴戹㠳敤っ㉦戵㠸ㄷ㔰改㑦㘹昴㤰挷扡捣搷ㅢ㤹㡤㜴摦晥捤攲㌶㙦㠳ㅢ㘴ち㕢㔲㤴挸搳挹捦摤ㅣ㉦㍡㠸づ㔶晣㘹㕦㠳㥣ㅦ㠱㑦愷换㤰㈳㌳㡦㜱ㄵ㘴㤰㝥搳晡づ慡慤㜲敤㐴㕣㍢ㄹ㍤戳昱戳㄰㍦昷㥤ㅣ愴戳愹㤹㑦㡡〳慦㑤㙡晦㜸昱慤て㝥昲搸挱㌷摦戹ㅥ㍦㕦㡣㘶㈶ㄲ晦㍡昱愳扦扦㜷晦搸挹㜷㝥㝣晡攸㑢慦晣昳㠴愰㐷昵㍡㙢㍥て㌱㝢㥥㌵㥦㡢㍢扡て摢〵晡愰㌲摥㑢愸昴愷〴ㅤ挹挲㑦㙣㘰〶戵愶〴晤〶㕡〶改㈲㌷㈷㈸晤㙡㑦㠲晥晡㜷㙦捦扥晢昵㤵㤳捦㥢攳ㄷ㐷ㅦ㑥㥦ㄴ㜴戵㕥㠲㠶㍢〹ㅡ挴ㅤ摢づ搵㜴捥ㅢㅤ慡摢敥摢㜹㈵愷㔹㑣昹㜹㉢㙡愶㍦㈱改摢㡥愳昲㘵ㅦ㌰戰㡦ㅢ敦㐵ㅣ昵㠰㝣昱㜷愱㌸㐹攰〸㐸㐸搱㐲㔹㠶㝡㔳捥㘸㥤昳〱扢㌲搶㐲㠰㈳㝡㉤㡢ㅢ扢㌰挴摦㤲㙥〷㠰㡣ㅤ㉣捤戸㐳攴昱㤶㍣搹㜳昳攰慥戰换搹㘵㑢ㅦ慤㡢散㈴愱昳捤㥤搶昵㙦攱㘳扤挰㑤㕡㍣ぢㄳ㐷愹昰㙡攲㍡㤷っ散㤶㌰㕥挵㐳摤扡愸㤴ち㤲㌳㕥㘳ㄳ〱㠴㈲〹敤㉡慡摤㠲㜱㉢㥦愳攴㕤㔷搱昹㍣愵㙤ㄵ挱攸愰〷改摦〶改扤慣攵㥥换晡㉥挶㜷㉤敢㜵㌶㙤㉤㑢㌰戸慥攲搷㉡ㅡ㐵搹戳㥥㤹㥡㠶攰㤱昱㕦搵㜹攲ㅡ㜱昸㌷昵㕥〰扥昳㠰晢㝤㑣ㄵ㔴ㄲ㜹ㄸ㙦挴ㄵ扥〸㉥㕢㘹昴〷㝣攳㡡搵㤸㌷攳㡡ㅡ愳愶愳挱昸㈱㐸慢ㄴ挸㐶㈵㤴户㔰㐱㐲㔱っ㔰敤ㅣ㐵㐶㙡搴摢㙡㔴愱挵㐲㜰㤶捡㍦㑦㐱㥤捣㍦㔳㘸挸㡡㠴攰㐰搵昱㘴㘷㐷晥㝦㤵㈱ㄳ㐰</t>
  </si>
  <si>
    <t>Decisioneering:7.0.0.0</t>
  </si>
  <si>
    <t>CB_Block_0</t>
  </si>
  <si>
    <t>㜸〱敤㕣㕢㙣ㅣ㔷ㄹ摥㤹摤㔹敦慣敤搸㡤㤳戶㐹㑢㙡㈸愵㔰〷㌷㑥ㅢ摡〲㈱昸㤲㕢敢挴㙥散愴㐵愵摡㡣㜷捦搸搳散捣戸㌳戳㡥㕤㡡㈸㔰㐰摣捡㐵㠲慡㔰愰㉡〸〹〹㜱ㄱ㔲换敤〵㠱㔴㠴㡡挴㐳㜹㐰攲愱慤㄰㍣㠰㔰㈴㕥晡㔰〹扥敦捣捣敥散慥㜷散㙥㕢㜰㤱㡦攳攳㌳攷㌶攷晣昷昳晦㘷㤲㔱㌲㤹捣扦㤱昸㤷㈹挷挲搵㜳㙢㝥㈰散搱㐹户㕡ㄵ攵挰㜲ㅤ㝦㜴摣昳㡣戵㘹换て戲攸㤰㉦㔹㘸昷戵㤲㙦㍤㈰ち愵ㄵ攱昹攸愴㘵㌲㠵㠲慥愲㥤㤳昰㜷㌰㝥搰㌹慡㉦㠷㙣㝥㜲㘲㘶攱㍥捣㍡ㄷ戸㥥搸㍦㝣㉥ㅣ㝢㜸㙣㙣㜴㙣昴攰㙤〷摦㌵㝡㘰晦昰㘴慤ㅡ搴㍣㜱搸ㄱ戵挰㌳慡晢㠷㘷㙢ぢ㔵慢㝣㠷㔸㥢㜷㉦〸攷戰㔸㌸㜰搳㠲㜱昳慤㘳㌷ㅦ㍡㘴摥㜶摢慤㝤㜸㜵收昴攴挴慣㈷㑣晦㌵㥡㔳攳㤲㙦㥥ㄲ㘵㡢㝢ㄳ挲戳㥣挵搱挹〹晣㑢慣ㅦ㑦户㡣捥㉤〹ㄱ昰搵挲ㄳ㑥㔹昸㍡〶昶摡攳扥㕦戳㤷〹㍣摤㍥㠶慤㤶つ㍦搰散㐹㔱慤敡㜶㍣㙢挱㥥〱散慡挶㕡㥦㍤㈷ㅣ摦ち慣ㄵ㉢㔸换摢昳㤸愸搲㙦㥦昵挵ㄹ挳㔹ㄴ愷つ㕢㘸昶昱㥡㔵挹㠵㈹㤳扤㍥㥥㈲戹㌰戹晤搱㜱摦㥥㕣㌲㍣戹㈲㥦㠰㐹改㝢捣㉢㌷昷扤戶昳扣㕣扡㝣〳攷扣慥㜳㍦戴㥣㌳扣㝡捦㤱捥㍤愳捤㌷慦攰挶捥晤ㄳ㌰㙡ㅥ昳㡥捥㘳㈴㈸㥢㝢㉢扤ㄱ㝤㑢㠸㘲㌳㝡㥥㔹て戳〲㌳㈲㔰㉦㌲敢㘵搶㠷㑣挹晤ぢ㕣㤲ㅣ挸㈶戵㘴愸愵〵戵㔴㔶㑢ㄵ戵㈴搴㤲愹㤶ㄶ搵搲㤲㕡戲搴搲㝤㙡改〲晡挴愹搰搳愳㐶改摢扢㙥晣戴晡捣㡦㡥㍥晤晤て㝦昳㤱㝤㉦扣搸户〳㥤敥㡣ㄶ㌵攵ㄹㄷ㐱㙡つ㉡㍥㌸㝡㠰㍦ㅢ㜳〵㤸挲㍣㘴摥㘲㡥㡤㔵づㅤ㌰㙥㌲㌴㙥㉢〵昹㑤㠴㌲㠸扥㝤收㕤㤶㔳㜱㉦㑡摣㕤㍤㘱昸愲〱戸㤱愸㙤挲慤㌹ㄵ晦慡昵ㅢ攷〲㈳㄰㝢㕢摢ㅡ㤳戴つ㥢〳㕢〹㕦扥㙦㕦敢戰㜳㐶戵㈶挶㔷慤戰昹㑤㉤捤昶慣攷㉥㜴㙥㍤收㠹晢敢慤㙤㉢ㅡ㠷㔰㕢㤱㜳户敤㌲㙣ち搷㌵㍣戹攴晡挲㤱换ㅢ戱㘷慤昲〵攱捤〹㡡㐴㔱㤱㕢摤捤愶㠸敢㐷㘶ㅣ㙣ㄴ摣㕡㜹㑢戲搶㍣扡ㅡ㠰㤹㐵〵敢㕤ㄶ㕥戰㌶㙦㉣㔴挵攵㑤㕤挲㜷愲㘱㑦㔳昵㌱户㕣昳㈷㕤㈷昰摣㙡㜳换㜸㘵挵㠰愴愹㥣㜲㉢㈲㤷换㐸愱〰㠱㥢捤㉡㑡收㠶捥扣㈰ㄱ㤱㐰㌱ㄹ昹捡㘶戲ㅢ㍤㠳摤㘱ㄷ㔵㐱㥡㔴摦扡挱㘴㕣慦㤴㌱㈹ㅣ㤸搸ㄳ昵〷㕦晡昶つ愶慤㘳敥昵敤慣慡㐳搱敥㡦慥〸㈷㌸㘱㌸㤵慡昰㔲戵㥦挲ㄵ改〳挸戴㑢㄰〸ㅤ愱㐷㔵愷慣㉡㙢摡㐵慢ㄲ㉣攵㤷㠴戵戸ㄴ愰づㅡ戲㔰㈰㘸摢㤲㝥ㄹ慡昴㥤捣㠶㤰ㄵ㡢㤹晣㉥㜶捡ㄷ㤱㌲ㅡ愵㔳ち㉦㌷〹㜲㡥㙢攲攵㍥昳㤸㔵つ㐴㈸㤴〷㑣㘰㈴搴㙡ㄲ㝤晤㈴㔱捦㈸㠷ち㘳㤷㌹〹㉡㌵㉣㈷㔸㙢昰㙤ㅢ㤷㠴㐴戴㉤ぢ戶㥣㉣愰㈸㘸㤶〷㈹扣〶愲㘹㤱〶改㥤ㄳ㐴㐴㌶㐸搱散㤸戹㤹挸搸㍦㐵㐶愰㝦㤲〸搹晢㐰㘷ㄹ㐱㘲㙦㈷㔲づ敡挸㡦摢搲㙣㍤㕢㍥㤴㘶扢〱㌸晤㜲㘶㔷㌰扢㤲搹ㅥ㘴捡㕦㈱攱㈸攵㔰㙥㑥晡㔵㜸搶慦㘶昶㈶㘴㤰㑦㍡㘵㑥㈴慡㘸㐳㙤挶㡥㘴扦㝥搸挹搲㈸づ㐵ㄱ㉤攳扡㥤搹㙦㑢㐴㐷㔶攷搶搰戵㌹愹㘳摦搶㤹㌶㤳摢㈱㐵愶㜴㑤敥㜵㠳慥㐹㐰戰㙢㤷㝡敢ㅡっ搵㠷㤹扤ㄹ㔹㔱㝦ぢ㜳㈸ㄷㅡ扣㥢戳攸㘹㔲扥㈱捣愲搰ㄸ敡㔲挱㐷㠴捣㈳㐰㡡㤰㙢㍢扥㙣摢搰㌴〷㐷捣㌷扣つ扤扦㌳㝦㐷㐸㙦搱㥢摢㝡㠷晥愲㔷㘸㐵㕦ぢ昶㔲晥摣㔱挷㕣㠷㘶晤㙤捣慥㐷搶愲㘳㜸晡㝥愵㥥〲㘹ㄶ摢〹捣敤愴搷㐵㕡戹昳㙢换㐲㙡愰㍥㜳摥昰ㄶ㐵〰て挶挹㈹搸挲慥攷㠹㉡づ戵ㄵ㔹挱昳换ㄵ捤㤵晥㌱捦戵㔹扦㙤㈳晢㙦〸挵㤰换愹搹㑣㡢㡤㥣㘲㙢㈶㝣㑥〹捡愱づ扥愹戳㤰㐸っ㙡㈶㉦㡥㑢㍦㕦㙥㑢㤲㉥㈴挹㍢〰㔶晤〶㘴㤰ㄲ捡ㅦ㍢㑡㤴晤散昶㑥搹慤搹㘲愵㠷㉦攵㜴搲攲㐳㙣㤳㈳扤愱挳㜶〲晥〳扦摦㥥戳散扡戰攸戵㘷㠵㔷㠶㙦挱慡㡡㘲攸㤶愵愸搹㤶ㄵ㙦㄰㔹㤱捤戶㥤愷㔳晣㙢㤲㑥㕡愴㐴㉡户愷㌶愶㥣挵ㅢ㐴㐵㌷㈴㠵㑡㡡㙢愸㉥㠱㐸㜹散扢㉤㘲扡㄰㌱㌷〲㜰晡〱㘶㘳捣づ㈲搳㝥て㐹戳㔹挰㌳ㅣ搶戳㐲㤷㜶愹㤴㈹㄰つ搲㐵昸㙣㐷㘱㜵㠸慦㜹ㄷ戳㕢㤰戵㤸㍦㜴㐰愶㄰愲㐴㜹㠲㄰㘵ㄸ挳㍣㘷㠹㡢愴㠱ㅤ㈶〲㑢㤳㌵㍦㜰㙤㐶㤶晡捤㈹昷戴ㅢ㑣㔹晥㌲㈲㔱㐳㘶㔴戸㙢㐹㌸愰㉥て戶㑦㑢㥤扢扣㉣㉡扡㌹攷搶㈰摡㑥㑥㙤㠵㠳㌹挰〱㕢㔲㥥捤㔵〵愹扢昳㌱愶㔰〰㘹改㙦愵㌷㜶㔳摥㙦ㅥ晡〶ㅡ㄰㥤户㠲慡攸㌵㐳愶㘳戹㘰〲㡡㠸ㅣ㔴㝡捣昹㈵㑦㠸愹㝥昳戸㘷㔵慡㤶㈳㠸っ搸㤸っ搶㑤㡢㐵㐴〹㘶㕤挶〰㕤愷摦㥣昷っ挷㕦㌶ㄸ㔰㕣摢搹昴㈴挳㈲㥡㌹㘱㌹㍥㕥㈳戱挸昲㠰㌹户攴㕥㐴挴戶㘶㍢挷㡤㘵㝦㑢㘰㠵㐴ㅦ㈶㠹ㅡ㐵㔵㔴㔵㈹愸㠵㙥昱挳〳㜹㈶㐳摥换㌱㤳戸捡㘸昴㤹愷㘸㙦摡昵㔱㡣㠶㜶㍡搷搴㠷攸㔱扤㌲㥢㉡㠵挹愹晡㙤ㅣ昳㙥㘴户ㅦ㍦㝢戲ㄱ㤹㝢㔵㌱㙢㡤㕥晥ㄴㄹ㉦挹愲ㅥ〸愱㡦㙥㐷㐸㉡慣㈳攵㠰〳㠱㜱㍥戵㤲㕦搱㤴㝤㐸㝤㍢ㅡ挵㘳㠸㈴昵㤹搳挶㠲愸㈲ㅥ㙤ㅢ挱㡥昰㠱㘶慣㙤㔴晤愸㙤搲戵㙤㠳愴㐵戲㥣㉢ㅢ愴攰昱㕡攰㥥戲ㅣ摤㐴㈶改㉦慡㌲㔶㔱㘵慣捡慡㍥昳っ㐳㠳戲捣戹摣㐵挳戳㠲㈵摢㉡ㄷ昸挰昰摤㤶愰㐹㌰㌹㈵㙦㥣㘲㤹㌱摣㘲捤㥦㠵挹收㡦〲摤愳㤰愳〴ㅤ搱て捡㔵㤵㍣㝥㤴㉥ㅤ㑢㄰㌰搲㔳慡扦ㄷ戳㘹昲㜶〴㐴㡥㑣㤷攲㍢ㄸ㤷㍥㠲㥡㔰〸ㄱ敢㈹㈴〲慦㘰㐲挸搳挵㥤㌷捦㍡㔶〰散ㄱ㘳挷慣㘰捡〷捡㤱愱㈸㡦户㝢㈵㔶ㄳ㠳㐶敡㕡攱㥡昶愶㈶㌵戱慦扤㍤愹㌷摥扡㑥㜳愸㔱ㄲ㡡㘴愳㑥㔲戳慣戳挶慤愴㙡ㄴ愹戸㘳㙤愳愴戹㑤ㅢ㜰愷ㄴ㜹ㄵ㡡㐹搲㑣㐶㝦㥦㈴ㄴ〴㝡㈳ㅤ㐵㥦㝤㍡㜹㈴㈲㌶戴〱㡡搴㔳㘱㕤㝦ㄴㄲ㍣㠹㙢㈷ㄵ㔱㡣㥥挰摦㍢愲攲㑣㉤㘸㙡㌱㔶㠷愲㤶昱㙡㜵挶㠱㤵㔰㌶扣捡ㄶ㘱㘹散㉤搴㌰㤲㍢扢搵晥㈱㜸ㄳ㡣ㄸ戱㈱挳㈲㈹㝥㘰戰㈱㤸㉢ㄱ㔱愵㜵搶㑦㔰搷慢ぢ㝣㍡㈵っ㐷㘲㘰㉥愸㑣㠹ㄵ㘹㠶㌵㉣昹㈱㌹愰㝥㕡㤴㜲㔴㌷挷ㄷ㝣愸昴㠰㜲㍣㉡㐹〶搷捤㌳㜴㑢攱ㄲ〳挴㙥㔴㥡㉤〷〸敤搶㈷攰挹㘰敢㘰〷㄰〹㐳㈷戴捥㈸㐱昳㈹㠴摢扣〹昲㑥㤷ㄸ㠵㈰㌵㘵晡攷ㄱ攵㙢㡦㌱㝤敦㐸㈶㉥㐴㑣挴㜰㔷㡡昵〰攴㈶㈳㤳攴愲愱㌸㘰ㅥ㑡㌶㈹戴晡攲㍡㥡ㄸ晤㌴昹扣〰户㜸ㄸ换ㅡ㈰摢㔴㜱捦㉤戰愰㑤慢㙢㍢捣㤳㑥戹㕡慢〸愹㡡㘳㔹㉤㌵昲㤶挰㤷扣〲ㄸ㜲㔳ち㕣㈲愰㥣挴㔱㡡㕢㈶㤲扡户扢昵㈳ㄸ㉥㠵ㅣ收〸㔵ㅦ〳㤰㈹㙥㌹ㄹ㄰㙢扢愷㐰晢㜰㘷攳〲㠳扣㍣〷㤱搶㔶㐵㔹㌶㡤晢㜸昵㈸戲攴戶㐴户㘹㜷摡愵捤㥥愸㍡㘱㠵㔵㕢〲㐷搸㘷㈸昰昲㜹ㄸ㈳㕤㜲〷㈷挹㕣㡡愲扢㤷㍥㈲ㅦ㌳㤷㠰ち㠹〱㠵㌱㕥㥥㠲㌲㠰㉡ㄸ㠹〶户摡戰扡ㄵ㐶㝦㘹㜹敢攳挸ㄴ㠶㠱㘹搰愲㘷㘸攰㑣愲扣戱㠱㜳つ㝡愵㐴㐸㤳挱㔴挶㈸㠷攰戰〷搲挰㑤㍣㐸捦扢㔰㐲挱㉥㜹㌱㉣扥㥢㌸㘲攳〸攴㝡㤷户㔴捥ㅡ〱慥扦㌸㝢㕡慡挷㉢ㄵ㥡扢昰捦㙤〹慣攲敡㐶㘸㡥敥㙡戹㤴㈵昷㐴晢敥摡㤶㠶攸戲攰挱愹搱ㄳ㐶㔰㕥㥡ぢ搶挲㡢㕢摤㤲㠴昶㑢昸㈳搶㝤㍢㙤收㥣挳㡢愸㉢㠴㝤昱㠲攳㕥㜴攴扡㌴㥦户晥㐰㈱戸㐲搹挳㐵ㄶ㌳晦挶㡦㑣㙡㐶晢〵㘶摣捣戲㌹㐱挳㐱挲㜹㘴ち愵挱㌰捡㈹㜴〲摢扤㝥㙢㠰㜴戲慢㠵㑥愴㈰搸㈶ㄴ㘷昱㌵㈳ㄴ攵攷㐰㉢㠹㈵㍣㤲〳收摦〵敢㉢㍦㐳つㄱ㡥攷㐸㡣㘸㙦㐶㈹〵㜵㔲㤰㐷㔷㍣㜸㈱攴晦〷㑢㌱㌷慦换㑥晦〵㘶㔶㝥摡㡡愲㝤㐴搱搳㙤㈸㔲㜸つ㐴昲敦敤㔱㠱てㅡ挳戳慦㈸㄰捥㍤㙤ㅦ㐰㕦昷ぢ扦晦挳〳攸㌴㌰捣㈴㙤㌴㠴摡慥㐳戹㙥㈲㘴摢㑣〴〶敦愵㠹㜰㡡㘳ㄸ挵て㑤㠴挸〷㌲㠳㡡㡤㑤〴挶昶㔲っ挱㐴愸㌵攱搶攰〹散㜲㥢晥戱ㄳ戸㜸㉢㝣挴昳愱戴晣㐹㜸愴慥㘸慦㥥㌵㍣挳摥㈳敢㡦㝢〲捡捣㥢挷㑤㙥㌹㠴㈳昶慥摢㈲〷慤攳慢㠸扤散摢晥㤴捤摤㕦〷愶挲ㄴ扡敦㤵㠲㤲㝦ㄵ㥥ㄲ㠵攷㠶捣㠷㜶晤攰昸ぢて㍣㝣㠴户搵㈲㕡搵㙥㐰戹㥢㤰㍤敤〹〴㜵ㄳㄷ㐵㜶昳挳㥣㔳昸㐴挹㕡慥㡡〹挳㤳㔶㤰慦摢㜱㌱㈴扣〴㘱㠶挴户ㄵ㑣㑣摣㝢〸㑤捣搱ㄶ㜷愷晣戰㐹扡〸㐷ㄳぢ㤷㍥扤㌸㙣愸㜴㔴㘴㕤㕡㥢摡㡦愰㡡㕥攱㐲㥡慤㐴㥥㍡㤹ㄴ攵㠷慤扡敥㄰㜵㕤㜸㤰㘱搸㍦㤶㔲㠸㍦㤰㐲㤲〷ㄹ㕥〸㤰㔲敡っち摡㡤挸㔲㈲㙢慤㈱㕥晡〳戶㠵㠰愸㕦晡敢昲㈳ㄶ㐰ㄱ㔸㡣㝤昱摤㥥㘸㘹㡢挶慡㠹愱㕡㘹搳捣愱㈰て㉦慣ㄸ㡢㙢攷㔱㠸㤳㜶㄰愵㑤扢愳昸㤲㝥㍢っ扣㠵㡣慤搹昴戵ㄵ敤愳㑥つ㌷㍦愰㘷昲㔲㘱㌸㍢㔹㡤〳愹㡣搱㠵㕤㡢㘱ㄵ昳㠱戰㔸ㅦ搴ㅢ㌵㐱㘷㌹㝢㜰㉡㐵昰㡦㕦ち戱㝤愴㌱昵敥搶ㄶ敡㌸愷〷ㅢ攴㉦散慦㝤㈹㡣㡤户㤲㘳㈰㘱㌷搵慢㄰㕥て㍦㡢㈱摣㜴㐶搱ㅢ㐵昹慣ㅣ挲㥦㤸戳戲㙡㥢晥㘷昴㕡㜲搶㌹㡥㘶ㄸ扢㐹晦摦㡤㡡つ昵扦挲搸㥢㐴攴〷愲㠲㌴㑥ㄹ㍦搹㌰㘴㐳㠸挰戳㡤攰㡤㍣ㄸ敢戲挸㤰㜷㔸㥡挳挷慢㘱戳㤴攰昰㝢攵㕡慦㐶搴挷搲戶敤敤㈸〰ㄹㅢ搲扥ぢㄱ搴㜱㝣戳摣㡡㑦户昹㝢㌰㜰搷㈹慢散戹扥㙢〶挳㜳〸晡づ昳摢㌳ㄳ㌶捦戸昲㥤㔶愱㜶㉤㈰搱㜷㉦挶㥣㥥㠱挰㍥㉤㠲搷㉡ㄶ挹挸挲收㈲ㄹ晣づ㘹㌰ㄱ㕥愲㜶昰㉦㌳敦慣ㄹ㔵㝣扡㍡〳㕦㘷挰慡㉤愱散㐲㡦㜳敢つつ㠲づ㜷戴敥㠰㍦㐸㔴㐷ㄱㅣ㤳㕢戸攷㕥挲戵ㄵ〶捤㝤愳扤昹散搹㥤捦慤愸㍤〹㥣㙥敥㉤捤㈴挳㜷昲㡢攴愲㕥㘲㡥㑢晢㐷昰㜷昳づ㕡捥㌶〴㍡㡦㍥攸愶㈳㙣愴ち昷搹㈶愲摦攷㌱㔴ㄹ㘷㠶㕦摤㠸ち㝣㔰攸攵㈳㉢㉡摦挴戶挸〰㈸㘷昲㘵㘴㥤愹晡昱昵愸㝡昰㜶㡣㈱扦敡〲㔹㝦㔶攱㔱㠳㔴㔹㔴扥㠶晥㠴㕡戸晢㐵搶攱攸㈱㡦ㄴ㈸敢㑢挸攲愴昰㐸㈱搷昳㈸〶搴搷㜳ㅦ㙡㍢慦攷㉢敢慤㐷愱㌱㈰昷㥢㥣㝦㌰㔶㈶扡㡤㘶摤㘱收㌲㕢㐶㌶ㄸ敢㤴〱㡡㐹敥㈵ㅦ㠶ㅡ㝥㐶㑣㈱晤㈱晡晢晣㤱摦㍦换昴㡦㈳㡡ㄴ㡣㘸㙡摥〵〵愳摣挵㈳挹㕤昸愸敤扣㡢捦慤户㡢㐱捡㑣〹搵ㅡち㠰㙡〹㝦攴慥㔶㔰㈰㐰昹慢㥣㘷㠶摦愶㔵っㅡ愸㤱㘳㔷㔱攸捦㙡㐴捣㝢㍡㙢ㄷㅡ㡦昱愷戰〸づ㌴㝤昳㝡ㄴ摦戰慥㌱摡㥤挵㈷晣㥡㔴㠵㌹昵摤摤捤ㄵ㥢愳搴㘴摡愷戰敢㔷㌱て㌷摤昰㌹㜲挶扤昸㉤挰㜲㈴㤹㐹㤰㍣㠰㐲っ愸挱㤸ㄶ㌴愲㍦攵ㄳ㈷㘹㈵昲㍡㈸㍤㕡昹搰㈵㥤て㙤㠳㠲ㅤ昹愲户㠴㠴挴摥昸捤㜰㐷挵㤶敦昲㥥㠳昲㠹㤸ㅣ㑦㥣㠸扦ㅦ㔳愳挸ㅢ搸㈱戴换挹㍥〴愴昲㜰摣昹挷㑦㌵ㅣ挷㘸㐰〲捦㠴㥤挹㘶戲昳挷攳捥〷昱㙤㥡散㤳㈱㘵㌱㍤ㅦ㜷㈶㍢捡捥ㅦ㡢㍢晦晤攰㥥㝡攷㤸晢挲㤹㌵戲㐶㡡挵㉦捦㐰㠹敦搴〷搰㕤㌳㘹㐵昴㥡㘱㌵㈹㔲〶搰慢搲㡥攸挳㤵ㄸて㕦㡡㑦攳㠶ㄷ㉥挲㐰搵㠴晦㘱挴㐹摣晣㥡㌲〲〳ㅦ㠲慦㈰攴敥改昲㠹㠳昳收㡣㠷㡡ㅥ昳愴㡦㤳㘵㘵㑢㤱〸㡣愲㕣〸摦つ㐲ㄳ㈹〶㜴〳ㅥ㜱愸㔰攵㑤㥡敥㔴愸っ㉦攵㤴㠷㘲捣㘶ㅥ㙡搰㡣晥㔱㈰〷捡〱㌹ぢ晡挷㤰㠷攱㈸摥搹捥っ㔲敡㐹㤱昶㌰ㅢ㍥挱散㤳挸㡡ち㐵ㅣ改㈰晦㈹㘴扢㈱愰昰ㅦ㜶昸挳ㄵ㌱扣散㠹ㄵ晣〷㈰扦晥㠹愳㉡慢昱㉢㤳挴愴㝦㥡挳㍥㠳㉣ぢ㔷戶ㄲ㤱㘲㔱晦㉣㙡㤲慦愶ㅣ㤱慦晥㍣ㅢㅥ㘱昶〵㘴㐵㡤㑢摥㌴散戸戳㉥戵昸ㄷ㌱㔴㈱㐰㌸㠷晥愵愸挰〷㠵搰愰㜴㔷ㅣ散㤰㈲㤵捡愷愰收ㄵ㐲㐸㌶搸㔱挳㘱搹愰㈸㠴㥡㙣愸㐶つ㔴㙤晡㔷㤰㈹㠴〷昷愴㝦㤵㑦〴㠳㝣攱愳㔱㐱扥㤰㌰㤰挳㤷㕡㕥㐸戸挸㠶挵㤶ㄷㄲ㔶戲挱㑣扥昰敢㥣㔴㙥っ㠵㘶敤挵つ㑡㜸㝦〳㠵晥散〰搷㜶ㄷ㝥搵㔵愵㝣扥㜲晥晣㑢〳戹攱扤戹扢摦摦昷搸昳扦㝢昱换捦㝤昰昰摦㕥㝥晣昱攷晥昲攵㘷㕦晥攵挲攱㘷㥥㝣昲㌷户㝦敢搹ㄷ㜷㥡㑦愸㑦扤㌴晤挴㠳㘳ㄷㅥ扣摦㍣㝢挳昱〷㍦㜰摦㥤㘳戳㤷㡤㘴戳㍤㍤搷て晤昶捡户て㍥㜴晦㑦㤵㕦晤改ち㐷㤱摢挵ぢ㥡㤷挱㙤换㘵㝣ぢ〵㉣㠳㉢㝥㕤㤷挱敤㑡㐰㥤㡦〰㌵㠱ち㙡㌴㉥㐰㌶㤴㥡ㅢ㝡晦〳ㄳ㔷挰㠵</t>
  </si>
  <si>
    <t>2.2.1</t>
  </si>
  <si>
    <t>Summary of Unavailability (Planned and Unplanned) Efect</t>
  </si>
  <si>
    <t>Project Name</t>
  </si>
  <si>
    <t>Cardon IV - Early Production Facility</t>
  </si>
  <si>
    <t>Facility Production</t>
  </si>
  <si>
    <t>Gas [MMscfd]</t>
  </si>
  <si>
    <t>Condensate [BPD]</t>
  </si>
  <si>
    <t>FUNCION "TPR" CALCULADA EN BLOQUE DE "RAPTOR"</t>
  </si>
  <si>
    <t>Equipment</t>
  </si>
  <si>
    <t>OREDA - DISTRIBUCIÓN "TIEMPO PARA REPARAR"</t>
  </si>
  <si>
    <t>CALCULO DE VALORES POR INTERPOLACIÓN EN LA MATRIZ "UPPER CHI-SQUARE"</t>
  </si>
  <si>
    <t>Active Repair - Hrs</t>
  </si>
  <si>
    <t>Factores y Estadística Calculados por Método Propuesto + Formulación OREDA</t>
  </si>
  <si>
    <t>Punto 1</t>
  </si>
  <si>
    <t>Punto 2</t>
  </si>
  <si>
    <t>Interpolación</t>
  </si>
  <si>
    <t>"CASO C-0100A Compresor A"</t>
  </si>
  <si>
    <t>No</t>
  </si>
  <si>
    <t>System</t>
  </si>
  <si>
    <t>Min</t>
  </si>
  <si>
    <t>Alfa</t>
  </si>
  <si>
    <t>Beta</t>
  </si>
  <si>
    <t>1/Beta</t>
  </si>
  <si>
    <t>Lower</t>
  </si>
  <si>
    <t>Media</t>
  </si>
  <si>
    <t>Mediana</t>
  </si>
  <si>
    <t>Low/Media</t>
  </si>
  <si>
    <t>n</t>
  </si>
  <si>
    <r>
      <t>Z</t>
    </r>
    <r>
      <rPr>
        <b/>
        <sz val="8"/>
        <rFont val="Arial"/>
        <family val="2"/>
      </rPr>
      <t>0,95</t>
    </r>
    <r>
      <rPr>
        <b/>
        <sz val="10"/>
        <rFont val="Arial"/>
        <family val="2"/>
      </rPr>
      <t>/Z</t>
    </r>
    <r>
      <rPr>
        <b/>
        <sz val="8"/>
        <rFont val="Arial"/>
        <family val="2"/>
      </rPr>
      <t>0,50</t>
    </r>
  </si>
  <si>
    <t>Air-Instrument</t>
  </si>
  <si>
    <t xml:space="preserve">Compressor A  </t>
  </si>
  <si>
    <t xml:space="preserve">Compressor Motor A </t>
  </si>
  <si>
    <t>Air  Filter A; pag 332</t>
  </si>
  <si>
    <t xml:space="preserve">Electric System </t>
  </si>
  <si>
    <t>Natural Gas Generator A, pag 246</t>
  </si>
  <si>
    <t xml:space="preserve">Fire Water System </t>
  </si>
  <si>
    <t xml:space="preserve">Control System </t>
  </si>
  <si>
    <t>Dew Point Tran 1</t>
  </si>
  <si>
    <t>Inlet Separtor, pag 387 unknown</t>
  </si>
  <si>
    <t>Shutdown Valve , pag 526</t>
  </si>
  <si>
    <t>Blowdown Valve, pag 507</t>
  </si>
  <si>
    <t>Gas/Liquid Exchanger, pag 317</t>
  </si>
  <si>
    <t>Dew Point Tran 2</t>
  </si>
  <si>
    <t>Gas/Liquid Exchanger;PAG 317</t>
  </si>
  <si>
    <t>Gas/Gas Exchanger;PAG 316</t>
  </si>
  <si>
    <t>Dew Point Tran 3</t>
  </si>
  <si>
    <t xml:space="preserve">SEPARATORS </t>
  </si>
  <si>
    <t>MP Flash Drum, pag 352</t>
  </si>
  <si>
    <t>LP Flash Drum, pag 352</t>
  </si>
  <si>
    <t>Stabilization System</t>
  </si>
  <si>
    <t>Compression-TRAIN 1</t>
  </si>
  <si>
    <t>Compression-TRAIN 2</t>
  </si>
  <si>
    <t>Regeneration Skid</t>
  </si>
  <si>
    <t>Btexeductor</t>
  </si>
  <si>
    <t>Hot Oil</t>
  </si>
  <si>
    <t>Hot Oil Filters</t>
  </si>
  <si>
    <t>Fuel Gas</t>
  </si>
  <si>
    <t>Condensate Storage</t>
  </si>
  <si>
    <t>LP/HP- KODS</t>
  </si>
  <si>
    <t xml:space="preserve">Flare </t>
  </si>
  <si>
    <t>e808f8ce-f882-4e79-83d8-831c5f52076a</t>
  </si>
  <si>
    <t>㜸〱捤㕡㕢㙣ㅣ㔷ㄹ摥戳扢㌳摥㔹摦戶㑤ち愵㑤愹㝢㐹㘹敡㘸戵㙢㝢㘳扢挵㡡敤㜵散扡戹㌶㜶搲㔲㈸摢昱敥㤹㜸㤲㥤ㅤ㜷㘶搶ㄷち愴戴愸㐲〸㠴㐰愲㤰㑡愵㔴㕣㕢㠴㜸攰㠵㠷挲㑢ㅦ㜸㐳㐲㕣挴〳㔴ㄵ㈰㠱慡ち戵㙦㐵㈰㠵敦㍢㍢ㅢ敦㡥搷㑥㥡〶㈹㈷搹㝦晦㜳晢昷㥣晦㜶扥㜳㤲㤸㠸挵㘲ㄷ㔱昸捤㤲㈴戳㘷㘱挳て愴㤳㉤扡搵慡㉣〷戶㕢昳戳㔳㥥㘷㙥ㅣ戱晤㈰㠱〱㝡挹㐶扦慦㤵㝣晢㌳㌲㔵㕡㤵㥥㡦㐱㕡㉣㤶㑡ㄹ㜱昴㌷㍦㤹㈶㘳㜰㤶㤱〴改挱愸搸㘲㜱晡昸搲㔹㠸㕥〸㕣㑦敥ㅦ㌸摤㄰㌰㤱捦㘷昳搹愱昱愱〳搹摣晥㠱㘲扤ㅡ搴㍤㌹㔱㤳昵挰㌳慢晢〷㑥搴㤷慡㜶昹戰摣㔸㜴捦挹摡㠴㕣捡つ㉦㤹㈳㘳昹㤱㐲挱ㅡㅦㅦ敢搱㈱昹㔸㜱晡㠴㈷㉤晦㕡挹散愲捣攳挵改散㌱ㄹ㕣㉢㤹㈹挸㠴挸ㄹ搷㌱敤摡㌵ㄲ慡㔱挱㠵ㄹ㔹戶㘹〹㈹㍤扢㜶㈶㡢㘵户㈹ㅡ戵搱散㤴敦搷㥤ㄵㅡ戵㈸慢搵㤳搲攲㜲っ㘷挶て㑥㤸㥥攳昷㌸搴㥦昴㘴慤㉣晤㍥攷搰㝡㔹㔶挳㠱㝥捡㌹㙤㝡挷㑣㐷㈶挹昴㍢つㅢ捥㔷㘴㉤戰㠳㡤㕥攷㤴㉦㑦㥡戵㌳㤲㐳㌴㘷慥㙥㔷㐴㌲㠹扦戱挴挷㍡慤㑣ㄹち敢㜱㡡换愶ㄷ愸ㅡ㑤㤸敦㌴戶挵㕤搴㉥摡搶㐵㤷ㅡ㠸捣愲捤ㄶ㙣攷戰昴㙡戲捡ㅦ愱㈵〷㈳㠳㤴㠲ㅡ㜶戸愴愹收㜶愸ㄶ搱ㅤ㐶〲昷挲㕦搱つ㤰攱㌹搳㜱捣晤㐷摣戲㐹㌵㑥攴昶㉦㤴捤慡㥣㈸攴挰㉤㥢㉢㜲㘲〸㑥㍣㍣㍥㍥㕡ㄸㅡㅤㅤ捦㡤㡣つ㡦ㄸ㘹㑣㌴扡㈹愲〷㈴㌹㜵㜸㈴㙦昴戲慤て㐴㈴摦㐵っ戶晥ㄸ㐷挶㑢㘶扣戴ㄴ㉦㤵攳愵㑡扣㈴攳㈵㉢㕥㍡ㄳ㉦㉤挷㑢㜶扣㜴㌶㕥㍡㠷㌱捤㤲敡敡㡡㠷攵摦㝦昴㠶晤ぢ㝦㉦扥戸敦㍢㝦㔸㝣㜴敤ㅥ挱戰㔳㔱㥢〱㌳摦㔸㝣㘱敦㐴扥㌰㥣ㅤㅢㅤㅡㄹㅡ㍡㌰㜶㈰㌷㤲ㅦ㍡戰扦㤰摢㍢㔱ㄸ换㘵㠷昳挳挳昹昱㕣㝥〴㘵戸戰㝦㥣愳㐷㐶昳搹㕣㉥㕦ㄸㅢ㍤㤰ㅢ㉡ㄴち攳挶つ㄰㘷摣〸愲敦〲㐹㑥捤攷㐷㡤摤㙣扢〹㐴㠸户戰㈵㙥敢攴㑦㕥晤摢㍤摡ㅢ挵慦摦晦㤷㕤㥦㜸敤敤㍦昷㝣ㄸ摤て㠷㡡㥤昱捣㌵戸敡㘶ㄴっ㘵㜳晣㜳昹昰㐷昴㕢〵㙢搴捡攷㉢㠵㥣㌹㙣㙡搴昰㤵晡ㄹ㌵搱㘳㍤㘲搷㉡敥㥡㜲扣㍤搳愶㉦㌷晤㜰㌰散㥢㜶敢戵㡡㝦㙢攷捥㠵挰っ攴㉤搱扥㑤㈱㕢愶㉤㈰㉣愵慦㝥敦愳搱㘹愷捤㙡㕤㑥慤摢㡤敥摢㈲摤〸㑡㜷㘹晢摥㔹㑦㍥㜹愹㜷换㡡愶㤰挲㔷㤵散㉤扢㙣㜴㌵搶㌵㔰㕣㜶㝤㔹㔳换ㅢ㜴㑥搸攵㜳搲㕢㤰㍣〰㘴㐵㙤昵㈶㜶㠵㤹㘱昰㜸つㅢ㐵慣㔷敥㙣㙤戵づ慤〷戲㔶㤱ㄵ慣㜷㐵㝡挱挶愲戹㔴㤵ㅦ㙡ㅢ搲昸㑤㜴㝣愴慤㜹搶㉤搷晤愲㕢ぢ㍣户摡摥㌳㔵㔹㌵㤱㡤㉡㐷摤㡡㐴㌲㐹戲挴㐴㉣㤱㄰㈲㜶㕦愷㠸愶㕣㍦慢っ搱㘲㘲收㤶㥢摢摤㉥㝢ㄲ扢挳㉥慡㤲㍥ㄹ扦晢㌲挲㤴㕣㡡搹户晤挰㤶㍤昱戴攴攸㝢户ㅦ慤搶㜸挹㜲晦摦挱昱昸慥㜰昷㠷㔶㤱戱ㅦ㌴㙢㤵慡昴㜶㍣敢〵㔷㘴摣っ愲晤〳㤱扣慤昶㤸㘱挴扡搸搰搶散㑡戰慣㉦㑢晢捣㜲㠰㌶攰㠱㔴㡡慡摤㔲㡣㕢搰㘴摣㑡戲〷㈴㥤㡥改户㜱㤰㥥㌶㍥摡愸㙢㑣㠱敦晦㉣㈰攲㌰搴搹〳愰攰㙢捥慣敢昹㠹㐴愷㕤㍥㘸晡换〱摤㜳挷㑥㘶㝤攳㜶㤲〱㄰㡤㈹晢戲㐷㑤㍦〶㈵㜹愲昶㍡㌳搲㌲㠱㘳㔴㜴ぢ㔳㜳ㅡ㐷攳㡣昴换〶捦搰㜹挴捡扡づづ挱摦攳搰晢攵㝡㌰㘳〶㘶㤷㠳搳ㄸ㔶㌲㌰㘸㔰捤㙡㜰㥣搹慢摡㥡戳搳㘱つㄲ㌲㡡㙤㤱搲慤ㅡㅡ㤲㄰㌸㠸㤷㔸㈲愴㍢㙦〲㙢攷㜹愹㐷ㅤ扤晤㔴挵㘱㕦㤹㤳戵挵㡤ㄵ改㜳㜸㑡摦㔱㤵搱昰愲戰攳攵愵㔳㠱㕤昵戳㔸改㥣攷搶㔷慥愵ㅣ捡㌲敥〰㘹ㄶ敤つ㜸昱㤵敦㠹㔸戸㙢㤵戶㈹㤵㘲㈹㑡㘳㡢㝥ㄷ㐸㜲敡㈸づ㜰扡㉣㈴㕥挴㤷㉡挶㕥㝣愵つづ搸愶㑦攳㜱晦㝥㘰〸晤慦挷㠱㥡ㄶ㍤愹㠰㔵㑡㔵愰昲㕥攷ㄱ搷㍢户攴扡攷攸㔴㝤慡收㉦㑢ㄹ㄰慣㜴㠷攰㑣㠱㌰㈱ㄲ㠹㌶㜰搱㠲㙡〸㜳昴㝤㈰㤹㐵户攲晡〳㔵㝥散㈵捦昵昵晢搰㥡〰㜲搲〷挱摣㍥敦慣㤸攵〰扤㉢慥㌷〰㤷〲㌷㍣㜰敦愱㠷收昶㘵搷慢晥扡昸㍤昴挰攳晥㌷敦愵晥昹捣㝢ㅢ挷㥥晤搳戳㝢㑡㈷扢捥㡡摦㠵ㅤ㕢㜰〹昱㠳㠲㐵㔹㌰攲户ㄸ挶㈴〳扥扤ㄸ㌹搴㡤㍣挹㄰〸㔲㠵搲㉤㌲挵〸慡㝡㠱愴㤱收搳㌱㐱㌸挲挴㘱ㅣ㈰ㄹ〵ㄱ㠴㈴ち㘹㡤㠱㘹ㄶ昱㙢晣ㄴ扤㠱ㄶ㌵㠸㕦戶ㅡ散攳㘸㑤敦搴㈷〸㜴㘸㔰㠳ち㌴愸㉦㠳扡ㄲ扦㠴攰㡥扡㜸㉤散㠸㘲㈲㡤㌹昶㝤㥣㘵㙡㡢搶㘹㕢慥㌱昸晡㉣㈰敦㘲摤て㕣㤵㈹㝡慤ㄹ昷㤸ㅢ捣搸晥㑡搵摣搸㘵㠵捣㈳换戲㠶㜳摣挳㜱ㅥ㘹㜳㔷㔶㘴挵戰ㄶ摣扡㔷㤶昳㌳搷挳㌹て㜵㐰㡦敡㠸㡦ぢ㤴慢㍢扡ㄲ㠰愱㌱晤㄰㐴愵改摤㔹㠵㝤搳挶㉣ㅢ搲㌱㡤㘷㔰㌴㈹愹㉢㐱ぢ㠰㔰㉣攱㘲晦愶㤲ㄷ敤愰㉡扢㉤㜵㜸㉢㍥㘵㐱戱挰㑢㤵㉥㙢㜱ㄹ㜱㍡搳㙢捤㜹㜶愵㙡搷㈴敤戳扢㌱昴㠸㍣〳㙣㜴挲昵㙤㕥ㅢ㝡慤㐵捦慣昹㉢㑣昳攵㡤ㅢ摢㙡敡㍣搰慣㘹扢收攳㘷㤴㘱挹昷㕢ぢ换敥ㅡ㙥攵㜵愷㌶㘷慥昸搷㠵愱ㄸ㐰㡤愲慣㈵攲㈲ㅥㄷ愹㜸敡㉡㑤ㄶ搳攷㈰捤ㄸ㤸昳㕥㝦搹戲换慥ㄲ捤戸㑦㤲挰㙣㌴ㅣ㜱㐳㌴㡤户ㄸ㉥㠲挱戸挲戶㙢㙤㐷㌸㜰改㠱㐳㘱㥥〷㌹㘷ㅥ攴愱戹㔳昳㥢户㤳て昴㐰愱ㄱ改㕣㌱ㄸ㔴戹愵攱㌸〴㠸昴㈳㠴㈸散捦㕡搴ㄹ搳㤶ㅡ㐳扦散摢㘴㘷㠱㈷㝡慣㈳收㤲慣〲〶㌹㘶搰搷愸㄰㡦㍡㘶搵て晢㡡㉥慥戳㜴㌴㕥挳搵㔵㌶㘵㑤搵〳昷愸㕤㌳㉣㄰攵㡤㘱㤳戹㡥㈶㜳扤〱㔸慣㤳扣ㅥ㈹㥥戲摣㌳愶㘷〷换㡥㕤㑥戱挲㉢捣㜵攱愱㐸㈴〴愸捤搲㑣㉡㔱〴搴挰㈱㌰㜷ㄶ愷〹㔵㐷昳挳㡦攳㐲挷ㅦ㜱㤵攸ㄹㄹ㐸㥤㉣挶㘱㐸搳㠸㑥㤱捤ㅡ㑢㜹愷昹敡昶捥㜹戴㈸捦ㄶ〴扦散㌶㡥㠴っ㉢㐹攲捦ㅤ愱ㄵ戱㐹晡㠸㙢㔶㘶㜹㐶㝢㕤攱㠳㕡ち愶㘵㠲昱㌲〴扢㐵摣㥦㜰㉦㕢戵㉢搲㑢戱㘱〱慦㜷㐹挲㘴扤㘱㐳ㅣ昷㠹㤸愶㜵愷㍡晤搶㝣㔳搶摤㈱㝡㘸㝤ㅤ㥣摦㈲晦敤㠷挷づ㔲敢改戴㍡慢㡥㠲㌵㡥㠱㠸〱㄰敥㈷㌲攰㌸㥡㡣ㄳ㈰摡ㅤ㈰㔱摢戴攳㑥愰㔳〳㠳㤲敡㈹㡡㠸㌸〵昴愸愰戴愶㌶搲摤〲㠱昵〶晡㑤㌵摦户㜴扣搰㜸戲㤲㙥㘴㔵㐲㙤㥡㈳ㅥ㑦挲搴㝡昴昹㘰换捦㐲㤸戳㈰ㄵ㌶ㄶ搴戹晥㌰㐸て㠳〵昲㑢敡㔱㈷㡡〹搳㘹㘳〱㠳㘲㘹㐱㜰搸摣戹㌲㔸㐳㌵㡢㘸㌶㑥㠱〸攲㈰〲〱晡〸ㄴ㘷㥣〶㠷㜴㈷〸㠰㜸㔶〱攷㠰散挲㜹ㅥ㜸昶㔲扤㙣扦晥昳摡㠰㍡搳搸ㄹ㡢㘴㐹㐱挸愴㙥㔸㡦㠲ㄱ散㘵〲扡攴㤰㡦㠱扦扣㐳ㄲ㘳㈹㠷晣㘴挸戰㈲㠸慥㥡㕢㈱㠲っ慤晣㈹戰挶攳ㅣ㐰攴搵㘱挰愷㌹愰挴〱〴㘳戴戴晥〴挸愶〶昹㠶搴㐱㠳㑢ㄸ〴つㄲ㤱㌵愵戶㌸㔷ㄹ捤㐶〵㐴昰㘴㔷慢㤵㈱愳㔶换㘴慥㕡慤㤰攱㙢㤸挶㠰㡣晡搹㤶ㅣ愰㝥挵㘲㌶㔸〸㌶慡挸挰㘴改㜷つ㡥ㄱ㤴㔶㙤㠸〶搷挳敢㜹㌲㝡㐹扥㌴㤷昷攰敥摤㤱〷〸㌵㡤㍤㑣㌶摡〵挰挳㙤攷㜳〷㥢户ㄱ捥㘱搱㤷㐱㜶ㅦ戵换〰攴慥ㄵっ㉣〰㔳っ昰㐱〷㝢捤㑤㘹摦㠲挴㡥扦挹㡤㈵㙢㝣愸㕤攵〵㈷㝤慥收慥搵搴㙡㌴㥦敦㕡㑡㕦㕤㕤晣ㄹ㘲㜴㔵敥㠲ㄶ㌳㑣㑣㥣㙣㥣〵改㑤㘴ㄸ搹㉣ㄹ㐶㌷㑢㠶愱捣㤲㘱㌸戳㘸っ㠰㉢㡤㉤捡ㄶ㑢愲㉣㉡㐲㈶扢扡挴摥挸敢挹㤶㤸扣㜴晤搴㜵㐶㤵昶㑤㙣昹捡㈶戵㙢㤴㤳昹㌱慡㈴づ㐸㍡挳搸愴戳攸㌵㤰ㅢ㡡搳愵昶㈷㙦㥤昰愴〷捤㉡敤攰㉤摤搷㔷搰搲㠷㤶ㄶっ㤲㘱㜰㔳㡡昱㈴㠹捡㠷搴愹㘰㝣㉢㍤〷㈱挳㡡㔰搱ち挶愸户戶㌲㕡改戱攲换搸ㅥ晤〴㝣㑣㕦〳搹搶昸攲㑢ㄸ㐶〷㘸㌷㈰〳㔹ㄹ㜰〳っっ挸愰㘵挹㌰㜰㔹㌲㡣㔲㤶っ㈳㤵㐵㌰晥㘸㐴昱ㅣ挴㔱挱㑡㔱㑦愱挵昸㉣㐸㍡挳㄰㔴㡡晡ㅣ㤸づ㡡晡㍣㥡摢ㄵ㜵ㅥ㉤㔱㐵㔵㐲㈹挶搳㘰搴搳戲㝡㘴捥㌰㥡搵㤲㥦〵㠳㈵㌳㡥㔵晤㡢慡慥搱ㄵㅦ㠸昸㐹㘷㍣㌸ㄸ㝤愰㍣㠴〷挷つㅥ换〹ㅣ㠴㡤攳㈳ㄹ扦晦敡㘴搱ㄳ㜵㠸攲㐷㝢ち㕡晡〰㜲摡㝤㤳ㄲ㤹昸㡣攷㐰晡改愰捤摦〱摢㉣敦ㅣっ戹挹挶㜷㉡晣捥㠴摦扢㈷晢改搵㙡收攳攲㡥㙦㑣㘹㙦㥥㝦改摤㔷ㅦ搸晢攲捦㉥㠶摦㌴捡㘶㤹㍣㍦㌹晢㡢搱㈷㙥㝤㉣㍥㈹攸扡㝤昸㐴慦扡慢搸㘶挷慢㙥㍤散㠸㕥晢㌳㜴㜶㘵扣慦㠰㠱㌱改收慡晥㔵㔵ㄷ㜴㑢ㅡ㔴㜸㤰㐰㉤慡㡤㝦つ㉤晤㜴戸ㅤ㌷晥挲〵㤶㔷㐲㐵扣㜹搰㔲攵㕦〷晢改愵㍢㙥晣㔷户晣攷慦㙦㍤㔰㥥散㥡戶㝥晡㠵㍢㥦㤹扣㝦㈴晢㕤昱摦攷㈷挵搳㤸搹㘹攳捥㜶ㅢ慦㠶ㅤ搱㍢扥愰昳慡㡤㥤ぢ㌷㜶〳ㅡ㔲昱㠴㐶㉦扥摣攵扦攵摦づ晡㌱㕣戳㜸〸㜵㕢㡤㘶㍡ㅥ㡥㈱扢㕡㔵ㄹ扣〷㄰摤挳敢晤ㄱ摣㍦〱捣昱捦㘰㘱摡挲扤㤴㠸愷〹〲つ㔵㔳㕥㙢ㅤ昷㠰ち扢慣㜹ㅦ㑦〹㤵ㄴ㕥ㅦ㠳〰晦㜴㜶㍤攰㜷㥣愹㐹〶㈸㐲㤴㉦晥昱㡥挷ㄹ捦愹ㅤ慥㔶㥢晡㘸㍥捡挷㠹散慦敥㔵㐱㝦ㅥ㍦搶〹㠵㈵㠵つ换㌶㌲敥搳戱㡢㕣㌲愰㘵捣昸㌶扥昴ぢ㈰㝣㑤㔳ㄹㅦ㈴㙤扣㠰㤶挶摤㠰㠸㈷愶㍤〷ㄲ摤ㅣ〱挶㉣㜷ㅦ㜹㕡敦敥㙥〲〰㑥ㄵっ㈵攵㕡㤵㜶搷ㄲ㡣㈹扡㤷晥㈲㐸攷㌵㉦㜵㕣昳㑢ㄸ慦㕥戴㌶搷晢㌲㥢戸㔴㐵㘲㠲㈱挹㌵㌷㡢挶㝤㕥戱ㄱ㤸攰㜶挱㕤挳晦㘱挰摢攲㘰㤵晦扦愰搳攵愳晤㜲晥㍤㑣ㄵ搴ㅥ㘵ㄸ摦てㄹ㔶〴㤷捤㘵ㄸ㍦㘰㡤㉢㔶㘳㝥ㄸ㌲㙡㡣㥡捥㌱㍦〲㘹㤶っ挵㈴昱㌱㝥っ搲㥢㄰㑡〰敢慦㠰㌴㑢㠶㠲搴愸㔷挱㈰㜹㌵㐵〸捥㔲ㄶ㌸ㄵ㕡㘰ㅡつ㈹攰愵收㜴挱ㄹ㙡挴㘲晢㠸敥晦〱㈱攰㘵㤵</t>
  </si>
  <si>
    <t>㜸〱敤㕣㙤㙣㈴㘵ㅤ摦㤹摤搹敥㙣摢㙢戹摥〱㜷㈲㔴〱ㄱ㝡㤶㙢攱㐴搴昳散ぢ昷〲扤㙢戹昶づつ㥡扤改敥㌳敤㜰㍢㌳㘵㘶戶搷㈲㠹愸愰昱つ㤵〴㡤㠸㙦挴㤰昸挵㤷㤸愸㈸㠹㌱㤲㘸っ㈴挶㘰㡣㠹ㅦ搰ㄸ晤愰㌱㤷昸㠵て㈴晡晢㍤㌳戳㍢扢摢㥤㤶〵戴㤸㍥扤㍥㝤收㜹㥢攷昹扦㍦晦晦㌳㤷㔱㌲㤹捣扦㤱昸㤷㈹挷挲ㄵ昳敢㝥㈰散搱㈹户㕡ㄵ攵挰㜲ㅤ㝦㜴挲昳㡣昵ㄹ换て戲攸㤰㉦㔹㘸昷戵㤲㙦摤㈷ち愵㔵攱昹攸愴㘵㌲㠵㠲慥愲㥤㤳昰㜷㌰㝥搰㌹慡㉦㠷㙣㘱㙡㜲㜶昱ㅥ捣㍡ㅦ戸㥥㌸㌰㝣㌶ㅣ㝢㜸㙣㙣㜴㙣㜴晣搶昱户㡦ㅥ㍣㌰㍣㔵慢〶㌵㑦ㅣ㜶㐴㉤昰㡣敡㠱攱戹摡㘲搵㉡摦㈱搶ㄷ摣昳挲㌹㉣ㄶて摥戴㘸摣晣㡥戱㥢てㅤ㌲㙦扤昵ㅤ㝤㜸㜵收搴搴攴㥣㈷㑣晦㔵㥡㔳攳㤲㙦㥥ㄶ㘵㡢㝢ㄳ挲戳㥣愵搱愹㐹晣㑢慣ㅦ㑦户㡣捥㉦ぢㄱ昰搵挲ㄳ㑥㔹昸㍡〶昶摡ㄳ扥㕦戳㔷〸㍣摤㍥㡡慤㤶つ㍦搰散㈹㔱慤敡㜶㍣㙢挱㥥〵散慡挶㝡㥦㍤㉦ㅣ摦ち慣㔵㉢㔸捦摢ぢ㤸愸搲㙦㥦昱挵㘹挳㔹ㄲ愷っ㕢㘸昶戱㥡㔵挹㠵㈹㤳扤㉥㥥㈲戹㌰戹晤搱〹摦㥥㕡㌶㍣戹㈲㥦㠰㐹改㝢搴㉢㌷昷扤扡昳扣㕣扡㝣〳攷扣戶㜳㍦戴㥣㌵扣㝡捦㤱捥㍤愳捤㌷慦攰挶捥晤ㄳ㌰㙡ㅥ㜳㝤攷㌱ㄲ㤴捤扤㤵摥㠸扥㈵㐴戱ㄹ㍤捦慣㠷㔹㠱ㄹㄱ愸ㄷ㤹昵㌲敢㐳愶攴晥〵㉥㐹づ㘴㤳㕡㌲搴搲愲㕡㉡慢愵㡡㕡ㄲ㙡挹㔴㑢㑢㙡㘹㔹㉤㔹㙡改ㅥ戵㜴ㅥ㝤攲㔴攸改㔱愳愴㍣摣昷捣㙦㙦㝡敥搸捦㍥晦㑤㝦晣〵攳昷㝤扢搰改捥㘸㔱搳㥥㜱〱愴搶愰攲昱搱㠳晣搹㥣㉢挰ㄴ收㈱昳ㄶ㜳㙣慣㜲攸愰㜱㤳愱㜱㕢㈹挸㙦㈲㤴㐱昴敤㌳敦戲㥣㡡㝢㐱攲敥㡡㐹挳ㄷつ挰㡤㐴㙤㤳㙥捤愹昸㙦搸戸㜱㍥㌰〲戱扦戵慤㌱㐹摢戰㜹戰㤵昰攵晢慥㙣ㅤ㜶搶愸搶挴挴㥡ㄵ㌶扦戱愵搹㥥昳摣挵捥慤㐷㍤㜱㙦扤戵㙤㐵ㄳ㄰㙡慢㜲敥戶㕤㠶㑤攱扡㠶愷㤶㕤㕦㌸㜲㜹㈳昶㥣㔵㍥㉦扣㜹㐱㤱㈸㉡㜲慢㝢搹ㄴ㜱晤挸慣㠳㡤㠲㕢㉢㙦㑥搶㥡户慤〵㘰㘶㔱挱㝡㔷㠴ㄷ慣㉦ㄸ㡢㔵㜱㘹㔳㤷昰㥤㘸搸搷㔴㝤搴㉤搷晣㈹搷〹㍣户摡摣㌲㔱㔹㌵㈰㘹㉡㈷摤㡡挸攵㌲㔲㈸㐰攰㘶戳㡡㤲戹愱㌳㉦㐸㐴㈴㔰㑣㐶扥扣㤹散㐶㑦㘳㜷搸㐵㔵㤰㈶搵㙢㌶㤹㡣敢㤵㌲㈶㠵〳ㄳ㝢愲晥攰㑢摦扡挹戴㜵捣扤戶㥤㔵㜵㈸摡晤㙤慢挲〹㡥ㅢ㑥愵㉡扣㔴敤愷㜰㐵晡〰㌲敤㈲〴㐲㐷攸㔱搵㈹㙢捡扡㜶挱慡〴换昹㘵㘱㉤㉤〷愸㠳㠶㉣ㄴ〸摡戶愴㕦㠲㉡㝤㌷戳㈱㘴挵㘲㈶扦㠷㥤昲㐵愴㡣㐶改㤴挲换㑤㠲㥣攳㥡㜸戹捦㍣㙡㔵〳ㄱち攵〱ㄳㄸ〹戵㥡㐴㕦㍦㐹搴㌳捡愱挲搸㘳㑥㠱㑡つ换〹搶ㅢ㝣摢挶㈵㈱ㄱ敤挸㠲㙤㈷ぢ㈸ち㥡攵㐱ち慦㠱㘸㕡愴㐱㝡攷〴ㄱ㤱つ㔲㌴㍢㘶㙥㈶㌲昶㑦㤱ㄱ攸㥦㈴㐲昶㍥搸㔹㐶㤰搸摢㠹㤴㠳㍡昲攳㡥㌴摢挸㤶て愵搹㕥〰㑥扦㤴搹㘵捣㉥㘷戶て㤹昲㔷㐸㌸㑡㌹㤴㥢㤳晥〶㍣敢㔷㌰㝢㈳㌲挸㈷㥤㌲㈷ㄲ㔵戴愱戶㘲㐷戲㕦㍦散㘴㘹ㄴ㠷愲㠸㤶㜱摤捥散户㈵愲㈳慢㜳㝢攸摡㥣搴戱㙦改㑣㥢挹敤㤰㈲㔳扡㈶昷扡㐹搷㈴㈰搸戵㑢扤㜵ㄵ㠶敡挳捣摥㠴慣愸扦㤹㌹㤴ぢつ摥慤㔹昴㌴㈹㕦ㄷ㘶㔱㘸っ㜵愹攰㈳㐲收ㄱ㈰㐵挸戵ㅤ㕦㜶㙣㘸㥡㠳㈳收敢摥㠶㍥搰㤹扦㈳愴户攸捤ㅤ扤㐳㝦搱换戴愲慦〶㝢㈹㝦散愸㘳慥㐵戳晥ㄶ㘶搷㈱㙢搱㌱㍣㝤扦㕣㑦㠱㌴㡢敤〴收㜶搳敢㈲慤摣㠵昵ㄵ㈱㌵㔰㥦戹㘰㜸㑢㈲㠰〷攳挴㌴㙣㘱搷昳㐴ㄵ㠷摡㡡慣攰昹攵戲收㑡晦愸攷摡慣摦戱㤱晤搷㠵㘲挸攵搴㙣愶挵㐶㑥戱㌵ㄳ㍥愷〴攵㔰〷摦搴㔹㐸㈴〶㌵㤳ㄷ挷愵㥦㉦㜷㈴㐹ㄷ㤲攴㝡㠰㔵扦〱ㄹ愴㠴昲扢㡥ㄲ攵〰扢扤㑤㜶㙢戶㔸改攱㑢㌹㥤戴昸㄰摢攴㐸㙦攸戰㥤㠴晦挰敦户攷㉤扢㉥㉣㝡敤㌹攱㤵攱㕢戰慡愲ㄸ扡㘵㈹㙡㜶㘴挵敢㐴㔶㘴戳㙤攷改ㄴ晦㥡愴㤳ㄶ㈹㤱捡敤愹㡤㈹㘷昱〶㔱搱つ㐹愱㤲攲ㅡ慡㑢㈰㔲ㅥ晢敥㠸㤸㉥㐴捣㡤〰㥣㝥㤰搹ㄸ戳㜱㘴摡㜳㤰㌴㕢〵㍣挳㘱㍤慢㜴㘹㤷㑡㤹〲搱㈰㕤㠴捦㜶ㄴ㔶㠷昸㥡户㌳扢〵㔹㡢昹㐳〷㘴ち㈱㑡㤴㈷〸㔱㠶㌱捣戳㤶戸㐰ㅡ搸㘵㈲戰㌴㔵昳〳搷㘶㘴愹摦㥣㜶㑦戹挱戴攵慦㈰ㄲ㌵㘴㐶㠵扢㤶㠵〳敡昲㘰晢戴搴戹㉢㉢愲愲㥢昳㙥つ愲敤挴昴㜶㌸㤸〳ㅣ戰㈵攵搹㕣㔵㤰扡㍢ㅦ㘳ち〵㤰㤶晥㔶㝡㘳户攴晤收愱㙦愰〱搱〵㉢愸㡡㕥㌳㘴㍡㤶ぢ㈶愰㠸挸㐱愵挷㕣㔸昶㠴㤸敥㌷㡦㜹㔶愵㙡㌹㠲挸㠰㡤挹㘰摤㡣㔸㐲㤴㘰捥㘵っ搰㜵晡捤〵捦㜰晣ㄵ㠳〱挵昵摤㑤㑦㌲㉣愲㤹㤳㤶攳攳㌵ㄲ㡢㉣て㤸昳换敥〵㐴㙣㙢戶㜳捣㔸昱户〵㔶㐸昴㘱㤲愸㔱㔴㐵㔵㤵㠲㕡攸ㄶ㍦㍣㤰㘷㌲攴扤ㅣ㌳㠹慢㡣㐶㥦㜹㡡昶愶㕤ㅦ挵㘸㘸愷㜳㑤㝤㠸ㅥ搵㉢戳愹㔲㤸㥣慡摦捡㌱敦㐴㜶晢戱㌳㈷ㅡ㤱戹㔷ㄴ戳搶攸攵㑦㤱昱㤲㉣敡㠱㄰晡攸㜶㠵愴挲㍡㔲づ㌸㄰ㄸ攷㔳㉢昹ㄵ㑤搹㠷搴户慢㔱㍣㡡㐸㔲㥦㌹㘳㉣㡡㉡攲搱戶ㄱ散ちㅦ㘸挶摡㐶搵㡦摡愶㕣摢㌶㐸㕡㈴换昹戲㐱ち㥥愸〵敥㐹换搱㑤㘴㤲晥愲㉡㘳つ㔵挶㥡慣敡㌳㑦㌳㌴㈸换㥣换㕤㌲㍣㉢㔸戶慤㜲㠱てっ摦㙤ぢ㥡〴㤳㔳昲挶㈹㤶ㄹ挳㉤搶晣ㄹ㤸㙣晥㈸搰㍤ち㌹㑡搰ㄱ晤愰㕣㔵挹攳㐷改搲戱〴〱㈳㍤愵晡扢㌱㥢㈶㙦㐷㐰攴挸㜴㌱扥㠳㜱昱挳愸〹㠵㄰戱㥥㐲㈲昰ち㈶㠴㍣㕤摣㜹昳㡣㘳〵挰ㅥ㌱㜶搴ち愶㝤愰ㅣㄹ㡡昲㜸扢㕦㘲㌵㌱㘸愴慥ㄵ慥㙡㙦㙡㔲ㄳ㔷戶户㈷昵挶㌵ㅢ㌴㠷ㅡ㈵愱㐸㌶敢㈴㌵换〶㙢摣㑥慡㐶㤱㡡㍢搶㌶㑡㥡摢戴〱㜷㑡㤱㔷愰㤸㈴捤㘴昴昷㐸㐲㐱愰㌷搲㔱昴搹愷㤳㐷㈲㘲㐳ㅢ愰㐸㍤ㄵ搶昵㐷㈱挱ㄳ戸㜶㔲ㄱ挵攸〹晣扤㉢㉡捥搶㠲愶ㄶ㘳㙤㈸㙡㤹愸㔶㘷ㅤ㔸〹㘵挳慢㙣ㄳ㤶挶摥㐲つ㈳戹戳㕢敤ㅦ㠲㌷挱㠸ㄱㅢ㌲㉣㤲攲〷〶ㅢ㠲戹ㄲㄱ㔵㕡㘷晤〴㜵扤扡挰愷㤳挲㜰㈴〶收㠳捡戴㔸㤵㘶㔸挳㤲ㅦ㤲〳敡愷㐵㈹㐷㜵㜳㘲搱㠷㑡て㈸挷愳㤲㘴㜰摤㍣㑤户ㄴ㉥㌱㐰散㐶愵戹㜲㠰搰㙥㝤〲㥥っ戶て㜶〰㤱㌰㜴㐲敢㡣ㄲ㌴㥦㐲戸捤㥢㈰敦㜴㠹㔱〸㔲㔳愶㝦ㅥ㔱ㅥ晢㌲搳户㡦㘴攲㐲挴㐴っ㜷愵㔸て㐰㙥㌲㌲㐹㉥ㅡ㡡〳收愱㘴㤳㐲慢㉦慥愳㠹搱㑦㤳捦ぢ㜰㡢㠷戱慣〱戲㑤ㄵ昷摣〲ぢ摡戴扡扥换㍣攱㤴慢戵㡡㤰慡㌸㤶搵㔲㈳㙦ぢ㝣挹㉢㠰㈱㌷愵挰㈵〲捡〹ㅣ愵戸㘵㈲愹㝢扢㕢㍦㠲攱㔲挸㘱㡥㔰昵㌱〰㤹攲㤶㤳〱戱戶㝢ち戴て㜷㌷㉥㌰挸换㜳㄰㘹㙤㔵㤴㘵㌳戸㡦㔷㡦㈲㑢㙥㑢㜴㥢㜱㘷㕣摡散㠹慡攳㔶㔸戵㉤㜰㠴㝤㠶〲㉦㥦㠷㌱搲㈵㜷㜰㤲捣挵㈸扡㝢昱挳昲㌱㜳ㄱ愸㤰ㄸ㔰ㄸ攳攵㈹㈸〳愸㠲㤱㘸㜰慢つ慢㕢㘱昴㤷㤶户㍥㠱㑣㘱ㄸ㤸〶㉤㝡㠶〶捥ㄴ捡㥢ㅢ㌸㔷愱㔷㑡㠴㌴ㄹ㑣㘵㡣㜲〸づ㝢㈰つ摣挴㠳昴㠲ぢ㈵ㄴ散㤱ㄷ挳攲扢㠹㈳㌶㡥㐰慥㜷㘹㑢攵㥣ㄱ攰晡㡢戳慦愵㝡愲㔲愱戹ぢ晦摣戶挰㉡慥㙥㠴收攸㥥㤶㑢㔹㜲㑦戴敦慥㙥㘹㠸㉥ぢ㡥㑦㡦ㅥ㌷㠲昲昲㝣戰ㅥ㕥摣敡㤶㈴戴愷攱㡦搸昰敤戴㤹㜳づ㉦愲慥ㄲ昶挵昳㡥㝢挱㤱敢搲㝣摥晡〳㠵攰ち㘵てㄷ㔹捣晣ㅢ㍦㌲愹ㄹ敤愷㤸㜱㉢换收〴つ〷〹攷㤱㈹㤴〶挳㈸愷搰〹㙣昷晡慤〱搲挹㥥ㄶ㍡㤱㠲㘰㠷㔰㥣愵㔷㡤㔰㤴㥦〰慤㈴㤶昰㐸づ㤸㍦〹搶㔷㥥㐲つㄱ㡥攷㐸㡣㘸㙦㐲㈹〵㜵㔲㤰㐷㔷㍣㜸㈱攴晦〷㑢㌱㌷㙦挸㑥晦〵㘶㔶㝥摣㡡愲㉢㠹愲ㅦ戵愱㐸攱㌵㄰挹扦户㐷〵㍥㘸っ捦扥慣㐰㌸昷戴㜳〰㝤捤㉦晣晥てて愰㌳挰㌰㤳戴搱㄰㙡扢ㄶ攵扡㠹㤰㙤㌳ㄱㄸ扣㤷㈶挲㐹㡥㘱ㄴ㍦㌴ㄱ㈲ㅦ挸㉣㉡㌶㌷ㄱㄸ摢㑢㌱〴ㄳ愱搶㠴㕢㠳㈷戰㑢㙤晡挷㡥攳攲慤昰ㄱ捦㠷搲昲愷攰㤱扡慣扤㝡捥昰っ㝢㥦慣㍦收〹㈸㌳㙦〱㌷戹攵㄰㡥搸扦㘱㡢ㅣ戴㠱慦㈲昶戲敦昸㔳戶㜶㝦ㅤ㤸ち㔳攸扥㔷ち㑡晥ㄵ㜸㑡ㄴ㥥ㅢ㌲ㅦ摡昳㥤㘳㝦扡敦挱㈳扣慤ㄶ搱慡㜶〳捡摤㠴散㘹㑦㈰愸㥢戸㈸戲㤷ㅦ收㥣挴㈷㑡搶㑡㔵㑣ㅡ㥥戴㠲㝣摤㡥㡢㈱攱㈵〸㌳㈴扥敤㘰㘲攲摥㐳㘸㘲㡥戶戸㍢攵㠷㑤搲㐵㌸㥡㔸戸昴改挵㘱㐳愵愳㈲敢搲摡搴扥〷㔵昴㌲ㄷ搲㙣㈵昲搴挹愴㈸摦㙤搵㜵㠷愸敢挲㠳っ挳晥戱㤴㐲晣㠱ㄴ㤲㍣挸昰㐲㠰㤴㔲愷㔱搰㙥㐴㤶ㄲ㔹㙢つ昱搲ㅦ戰㈳〴㐴晤搲㕦㤷ㅦ戱〰㡡挰㘲散㡢敦昶㐴㑢㕢㌴㔶㑤っ搵㑡㥢㘶ㅥ〵㜹㜸㘱挵㔸㕣扢㠰㐲㥣戴㜱㤴戶散㡥攲㑢晡敤㌰昰ㄶ㌲戶㘶搳搷㔶戴㙦㜳㙡戸昹〱㍤㤳㤷ち挳搹捤㙡ㅣ㐸㘵㡣㉥散㕡っ慢㤸て㠴挵晡愰摥愸〹㍡换搹㠷㔳㈹㠲㝦晣㔲㠸敤㈳㡤愹昷戶戶㔰挷㌹㍤搸㈰㝦㘱㝦㕤㤹挲搸㜸㉢㌹〶ㄲ㜶㑢扤ち攱昵昰㌳ㄸ挲㑤㘷ㄴ扤㔱㤴捦捡㈱晣㠹㌹㉢慢戶改㝦㐶慦㈵㘷㥤攵㘸㠶戱㥢昴晦晢㔰戱愹晥㔷ㄸ㝢㤳㠸㝣㝦㔴㤰挶㈹攳㈷㥢㠶㙣〸ㄱ㜸戶ㄱ扣㤱〷㘳㕤ㄶㄹ昲づ㑢昳昸㜸㌵㙣㤶ㄲㅣ㝥慦㕣敢搵㠸晡㔸摡戶扤ㅤ〵㈰㘳㐳摡㤳㄰㐱ㅤ挷㌷换慤昸㜴㥢扦ㅢ〳昷㥣戴捡㥥敢扢㘶㌰㍣㡦愰敦㌰扦㍤㌳㘱昳㑣㈸摦㙡ㄵ㙡㔷〳ㄲ㝤ㅦ挴㤸㔳戳㄰搸愷㐴昰㙡挵㈲ㄹ㔹搸㕡㈴㠳摦㈱つ㈶挲㑢搴づ晥㈵收㥤㌵愳㡡㑦㔷㘷攱敢っ㔸戵㉤㤴㕤攸㜱㙥扤愱㐱搰攱㡥搶ㅤ昰〷㠹敡㈸㠲㘳㜲ぢ㜷㝦㤰㜰㙤㠵㐱㜳摦㘸㙦㍥㝢㜶攷㜳㉢㙡㑦〰愷㕢㝢㑢㌳挹昰㥤晣㈲戹愸㤷㤸攳搲晥ㄱ晣摤扡㠳㤶戳つ㠱捥愳て扡改〸ㅢ愹挲㝤戶㠵攸昷㌹っ㔵㈶㤸攱㔷㌷愲〲ㅦㄴ㝡昹挸㡡捡搷戰㉤㌲〰捡㤹㝣ㄹ㔹㘷慡㝥㝣㈳慡ㅥ扣ㅤ㘳挸慦扡㐰搶㥦㔵㜸搴㈰㔵ㄶ㤵挷搰㥦㔰ぢ㜷扦挴㍡ㅣ㍤攴㤱〲㘵㝤ㄹ㔹㥣ㄴㅥ㈹攴㝡扥㠴〱昵昵摣㠳摡捥敢㜹㜴愳昵㈸㌴〶攴㝥㤳昳て挶捡㐴户搱慣㍢捣㕣㘶㉢挸〶㘳㥤㌲㐰㌱挹扤攴挳㔰挳㔳挴ㄴ搲㙦愲扦㉦ㅣ㜹敥㔹愶㝦ㅣ㔱愴㘰㐴㔳昳㉥㈸ㄸ攵㉥ㅥ㑥敥挲㐷㙤攷㕤㝣㘶愳㕤っ㔲㘶㑡愸搶㔰〰㔴㑢昸㈳㜷戵㡡〲〱捡㕦攵ㅣ㌳晣㌶慤㘲搰㐰㡤ㅣ扢㠶㐲㝦㔶㈳㘲摥搵㔹扢搰㜸㡣㍦㠵㐵㜰愰改㥢搷摢昰つ敢㍡愳摤㔹㝣挲慦㐹㔵㤸㔳摦搹摤㕣戱㌹㑡㑤愶㝤〲扢㝥〵昳㜰搳つ㥦㈳㘷摣㡦摦〲㉣㐷㤲㤹〴挹㝤㈸挴㠰ㅡ㡣㘹㐱㈳晡㔳㍥㜱㤲㔶㈲慦㠳搲愳㤵て㕤搲昹搰㌶㈸搸㤱㉦㝡㕢㐸㐸散㡤摦っ㜷㔴㙣昹㉥敦㌹㈸て挵攴㜸晣㜸晣晤㤸ㅡ㐵摥挰づ愱㕤㑥昶㈱㈰㤵〷攳捥摦晦㘱挳㜱㡣〶㈴昰㑣搸㤹㙣㈶㍢㝦㉣敥㍣㡥㙦搳㘴㥦っ㈹㡢改㠵戸㌳搹㔱㜶晥㘸摣昹敦攳晢敡㥤㘳敥ぢ㘷搶挸ㅡ㈹ㄶ扦㍣〳㈵扥㔳ㅦ㐰㜷捤愴ㄵ搱㙢㠶搵愴㐸ㄹ㐰慦㑡㍢愲て㔷㘲㍣㝣㈹㍥㠳ㅢ㕥戸〸〳㔵ㄳ晥㠷ㄱ㈷㜰昳㙢摡〸っ㝣〸扥㡡㤰扢愷换㈷づ捥㥢戳ㅥ㉡㝡捣ㄳ㍥㑥㤶㤵㙤㐵㈲㌰㡡㜲㈱㝣㌷〹㑤愴ㄸ搰つ㜸挴愱㐲㤵㌷㘹扡㔳愱㌲扣㤴㔳ㅥ㠸㌱㥢㜹愰㐱㌳晡㐷㠰ㅣ㈸〷攴㉣攸ㅦ㐵ㅥ㠶愳㜸㘷㍢㌳㐸愹㈷㐵摡㠳㙣㜸㠸搹挷㤱ㄵㄵ㡡㌸搲㐱晥ㄳ挸昶㐲㐰攱㍦散昰㠷㉢㘲㜸挵ㄳ慢昸て㐰㝥昱〳㐷㔵搶攲㔷㈶㠹㐹晦㈴㠷㝤ち㔹ㄶ慥㙣㈵㈲挵愲晥㘹搴㈴㕦㑤㌹㈲㕦晤㔹㌶㍣捣散㜳挸㡡ㅡ㤷扣㘵搸㜱㘷㕤㙡昱捦㘳愸㐲㠰㜰づ晤ぢ㔱㠱てち愱㐱改慥㌸搸㈱㐵㉡㤵㑦㐱捤㉢㠴㤰㙣戰愳㠶挳戲㐱㔱〸㌵搹㔰㡤ㅡ愸摡昴㐷㤱㈹㠴〷昷愴㝦㤱㑦〴㠳㝣攱㤷愲㠲㝣㈱㘱㈰㠷㉦户扣㤰㜰㤱つ㑢㉤㉦㈴慣㘴㠳㤹㝣攱㔷㌸愹摣ㄸち捤摡㡢ㅢ㤴昰晥㉡ち晤搹〱慥敤㉥晣慡㙢㑡昹㕣攵摣戹ㄷ〷㜲挳晢㜳敦㝢㙦摦㤷㕦昸昵㥦ㅦ㜹晥〳㠷晦昶搲攳㡦㍦晦㤷㐷㥥㝤改改挵挳扦㝣攲㠹㘷㙥晦晡戳㝦摥㙤㝥㐳晤攱㡢㌳摦戸㝦散晣晤昷㥡㘷㙥㌸㜶晦晢敦戹㜳㙣敥㤲㤱㙣戶愷攷扡愱㕦㕤晥搶挱〷敥晤戱昲昳㍦㕣收㈸㜲扢㜸㐱昳㌲戸㙤戹㡣慦愳㠰㘵㜰挵慦改㌲戸㕤〹愸㜳ㄱ愰㈶㔱㐱㡤挶〵挸㠶㔲㜳㐳敦㝦〰〶改挰㤰</t>
  </si>
  <si>
    <t>OREDA - DISTRIBUCIÓN "TIEMPO PARA FALLA"</t>
  </si>
  <si>
    <t>TPF OREDA (Reciprocos de Tasa Falla)</t>
  </si>
  <si>
    <t>Alfa (Forma)</t>
  </si>
  <si>
    <t>1/Beta (Esc)</t>
  </si>
  <si>
    <t>Table 6 - Upper percentage points of the chi-square distribution (Pag 33 Oreda 2009)</t>
  </si>
  <si>
    <t>MATRIZ "UPPER CHI_SQUARE"</t>
  </si>
  <si>
    <r>
      <t xml:space="preserve">    </t>
    </r>
    <r>
      <rPr>
        <sz val="12"/>
        <rFont val="Arial"/>
        <family val="2"/>
      </rPr>
      <t xml:space="preserve"> </t>
    </r>
    <r>
      <rPr>
        <sz val="10"/>
        <rFont val="Symbol"/>
        <family val="1"/>
        <charset val="2"/>
      </rPr>
      <t>a</t>
    </r>
    <r>
      <rPr>
        <sz val="10"/>
        <rFont val="Arial"/>
        <family val="2"/>
      </rPr>
      <t xml:space="preserve">
n</t>
    </r>
  </si>
  <si>
    <r>
      <t>Z</t>
    </r>
    <r>
      <rPr>
        <sz val="8"/>
        <rFont val="Arial"/>
        <family val="2"/>
      </rPr>
      <t>0,95</t>
    </r>
    <r>
      <rPr>
        <sz val="10"/>
        <rFont val="Arial"/>
        <family val="2"/>
      </rPr>
      <t>/Z</t>
    </r>
    <r>
      <rPr>
        <sz val="8"/>
        <rFont val="Arial"/>
        <family val="2"/>
      </rPr>
      <t>0,50</t>
    </r>
  </si>
  <si>
    <r>
      <t>(n)(Z</t>
    </r>
    <r>
      <rPr>
        <sz val="8"/>
        <rFont val="Arial"/>
        <family val="2"/>
      </rPr>
      <t>0,50)</t>
    </r>
  </si>
  <si>
    <t>1.1.2</t>
  </si>
  <si>
    <t>3.2.8</t>
  </si>
  <si>
    <t>TK_80000</t>
  </si>
  <si>
    <t>Tank</t>
  </si>
  <si>
    <t>4.4.2.1</t>
  </si>
  <si>
    <t>Document Name:</t>
  </si>
  <si>
    <t>Rev.</t>
  </si>
  <si>
    <t>Project Code:</t>
  </si>
  <si>
    <t xml:space="preserve">Project Phase: </t>
  </si>
  <si>
    <t xml:space="preserve">Discipline: </t>
  </si>
  <si>
    <t>Pags.</t>
  </si>
  <si>
    <t>Date:</t>
  </si>
  <si>
    <t>Client Doc Code:</t>
  </si>
  <si>
    <t>n/τ</t>
  </si>
  <si>
    <t>X</t>
  </si>
  <si>
    <t>Y</t>
  </si>
  <si>
    <t>Xmin, graf</t>
  </si>
  <si>
    <t>Xmax,graf</t>
  </si>
  <si>
    <t>Delta,x</t>
  </si>
  <si>
    <t>Distribution</t>
  </si>
  <si>
    <t>Lower (5%)</t>
  </si>
  <si>
    <t>Median (50%)</t>
  </si>
  <si>
    <t>Upper (95%)</t>
  </si>
  <si>
    <t>Standard Deviation (SD)</t>
  </si>
  <si>
    <t>Instalations</t>
  </si>
  <si>
    <t>Parametro 1</t>
  </si>
  <si>
    <t>Parametro 2</t>
  </si>
  <si>
    <t>All modes (Op. time)</t>
  </si>
  <si>
    <t>OREDA</t>
  </si>
  <si>
    <t>Param1 (Shp)</t>
  </si>
  <si>
    <t>Param2 (Scl)</t>
  </si>
  <si>
    <t>Param3 (Loc)</t>
  </si>
  <si>
    <t>Block_Name</t>
  </si>
  <si>
    <t>FDist</t>
  </si>
  <si>
    <t>FVal1</t>
  </si>
  <si>
    <t>FVal2</t>
  </si>
  <si>
    <t>FVal3</t>
  </si>
  <si>
    <t>RDist</t>
  </si>
  <si>
    <t>RVal1</t>
  </si>
  <si>
    <t>Rval2</t>
  </si>
  <si>
    <t>RVal3</t>
  </si>
  <si>
    <t>PreLDT</t>
  </si>
  <si>
    <t>PostLDT</t>
  </si>
  <si>
    <t>Depend</t>
  </si>
  <si>
    <t>PreVal1</t>
  </si>
  <si>
    <t>PreVal2</t>
  </si>
  <si>
    <t>PreVal3</t>
  </si>
  <si>
    <t>PostVal1</t>
  </si>
  <si>
    <t>PostVal2</t>
  </si>
  <si>
    <t>PostVal3</t>
  </si>
  <si>
    <t>Library</t>
  </si>
  <si>
    <t>TTF Plot Parameters</t>
  </si>
  <si>
    <t>TTF 5%, Mean and 95% Lines</t>
  </si>
  <si>
    <t>TTF Function Plot</t>
  </si>
  <si>
    <t>TTR Plot Parameters</t>
  </si>
  <si>
    <t>TTF (Time To Failure)</t>
  </si>
  <si>
    <t>TTR (Time To Repair)</t>
  </si>
  <si>
    <t>Pag</t>
  </si>
  <si>
    <t>No.</t>
  </si>
  <si>
    <t>Raptor7.0/RAM</t>
  </si>
  <si>
    <t>0.000000</t>
  </si>
  <si>
    <t>0.0</t>
  </si>
  <si>
    <t>4.4.13.4</t>
  </si>
  <si>
    <t>Oreda 2009</t>
  </si>
  <si>
    <t>All Modes</t>
  </si>
  <si>
    <t>-</t>
  </si>
  <si>
    <t>4.4.5</t>
  </si>
  <si>
    <t>Failure Rate (operational)</t>
  </si>
  <si>
    <t>TTR (calendar)</t>
  </si>
  <si>
    <t>1.1.1</t>
  </si>
  <si>
    <t>Centrifugal</t>
  </si>
  <si>
    <t>1.1.1.1</t>
  </si>
  <si>
    <t>Centrifugal-Electric</t>
  </si>
  <si>
    <t>1.1.1.2</t>
  </si>
  <si>
    <t>Centrifugal-Turbine</t>
  </si>
  <si>
    <t>1.1.1.3</t>
  </si>
  <si>
    <t>Centrifugal-Unknown</t>
  </si>
  <si>
    <t>Reciprocating</t>
  </si>
  <si>
    <t>1.1.2.1</t>
  </si>
  <si>
    <t>Reciprocating-Electric</t>
  </si>
  <si>
    <t>1.1.3</t>
  </si>
  <si>
    <t>Screw</t>
  </si>
  <si>
    <t>1.1.3.1</t>
  </si>
  <si>
    <t>Screw-Diesel</t>
  </si>
  <si>
    <t>1.1.3.2</t>
  </si>
  <si>
    <t>Screw-Electric</t>
  </si>
  <si>
    <t>1.2</t>
  </si>
  <si>
    <t xml:space="preserve">Gas Turbines </t>
  </si>
  <si>
    <t>1.2.1</t>
  </si>
  <si>
    <t>Aeroderivative</t>
  </si>
  <si>
    <t>1.2.1.1</t>
  </si>
  <si>
    <t>Aeroderivative (-10000)Kw</t>
  </si>
  <si>
    <t>1.2.1.2</t>
  </si>
  <si>
    <t>Aeroderivative (10000- 50000)Kw</t>
  </si>
  <si>
    <t>1.2.1.3</t>
  </si>
  <si>
    <t>Aeroderivative Unknown</t>
  </si>
  <si>
    <t>1.2.2</t>
  </si>
  <si>
    <t>Indutrial</t>
  </si>
  <si>
    <t>1.2.2.1</t>
  </si>
  <si>
    <t>Indutrial  (-10000)Kw</t>
  </si>
  <si>
    <t>Indutrial  (10000- 50000)Kw</t>
  </si>
  <si>
    <t>Pumps</t>
  </si>
  <si>
    <t>1.3.1.1</t>
  </si>
  <si>
    <t>Combined Function</t>
  </si>
  <si>
    <t>1.3.1.2</t>
  </si>
  <si>
    <t>Condensate Processing</t>
  </si>
  <si>
    <t>1.3.1.3</t>
  </si>
  <si>
    <t>Centrifugal cooling Systems</t>
  </si>
  <si>
    <t>1.3.1.4</t>
  </si>
  <si>
    <t>Centrifugal Crude Oil Handling</t>
  </si>
  <si>
    <t>1.3.1.5</t>
  </si>
  <si>
    <t xml:space="preserve">Centrifugal Flare,Vent &amp;Blow Down </t>
  </si>
  <si>
    <t>1.3.1.6</t>
  </si>
  <si>
    <t>Centrifugal Gas Processing</t>
  </si>
  <si>
    <t>1.3.1.7</t>
  </si>
  <si>
    <t>Centrifugal Gas Treatment</t>
  </si>
  <si>
    <t>1.3.1.8</t>
  </si>
  <si>
    <t xml:space="preserve">Centrifugal Heating Medium </t>
  </si>
  <si>
    <t>1.3.1.9</t>
  </si>
  <si>
    <t xml:space="preserve">Centrifugal Oil Export </t>
  </si>
  <si>
    <t>1.3.1.10</t>
  </si>
  <si>
    <t xml:space="preserve">Centrifugal Oil Processing </t>
  </si>
  <si>
    <t>1.3.1.11</t>
  </si>
  <si>
    <t>Centrifugal Oily Water Treatment</t>
  </si>
  <si>
    <t>1.3.1.12</t>
  </si>
  <si>
    <t xml:space="preserve">Centrifugal Sea Water Lift </t>
  </si>
  <si>
    <t>1.3.1.13</t>
  </si>
  <si>
    <t>Centrifugal  Water FireFighting</t>
  </si>
  <si>
    <t>1.3.1.14</t>
  </si>
  <si>
    <t>Centrifugal Water Injection</t>
  </si>
  <si>
    <t>1.3.2</t>
  </si>
  <si>
    <t>1.3.2.1</t>
  </si>
  <si>
    <t>Reciprocating Chemical Injection</t>
  </si>
  <si>
    <t>1.3.2.2</t>
  </si>
  <si>
    <t xml:space="preserve">Reciprocating Gas Processing </t>
  </si>
  <si>
    <t>1.3.2.3</t>
  </si>
  <si>
    <t>Reciprocanting Gas Treatment</t>
  </si>
  <si>
    <t>1.3.2.4</t>
  </si>
  <si>
    <t xml:space="preserve">Reciprocanting Main Power </t>
  </si>
  <si>
    <t>1.3.2.5</t>
  </si>
  <si>
    <t>Reciprocating  Water FireFighting</t>
  </si>
  <si>
    <t>1.3.3</t>
  </si>
  <si>
    <t>Rotary</t>
  </si>
  <si>
    <t>1.3.3.1</t>
  </si>
  <si>
    <t>Rotary oily  Water Treatment</t>
  </si>
  <si>
    <t>1.4</t>
  </si>
  <si>
    <t>Combustion Engines</t>
  </si>
  <si>
    <t>1.4.1</t>
  </si>
  <si>
    <t>Diesel Engine</t>
  </si>
  <si>
    <t>1.4.1.1</t>
  </si>
  <si>
    <t>Diesel Engine Emergency Power</t>
  </si>
  <si>
    <t>1.4.1.2</t>
  </si>
  <si>
    <t>Diesel Engine Main  Power</t>
  </si>
  <si>
    <t>1.4.1.3</t>
  </si>
  <si>
    <t>Diesel Engine Process Shutdown and ESD</t>
  </si>
  <si>
    <t>1.4.1.4</t>
  </si>
  <si>
    <t xml:space="preserve">Diesel Engine  Water FireFighting </t>
  </si>
  <si>
    <t>1.4.1.5</t>
  </si>
  <si>
    <t>Diesel Engine  Water Injection</t>
  </si>
  <si>
    <t>1.4.2</t>
  </si>
  <si>
    <t>Gas Engine</t>
  </si>
  <si>
    <t>1.4.2.1</t>
  </si>
  <si>
    <t>Gas Engine Crude Oil Handling</t>
  </si>
  <si>
    <t>1.4.2.2</t>
  </si>
  <si>
    <t xml:space="preserve">Gas Engine Emergency Power </t>
  </si>
  <si>
    <t>1.4.2.3</t>
  </si>
  <si>
    <t xml:space="preserve">Gas Engine Main Power </t>
  </si>
  <si>
    <t>1.5</t>
  </si>
  <si>
    <t xml:space="preserve">Turboexpanders </t>
  </si>
  <si>
    <t>1.5.1</t>
  </si>
  <si>
    <t>Gas Processing</t>
  </si>
  <si>
    <t>1.5.1.1</t>
  </si>
  <si>
    <t xml:space="preserve">Gas Processing Centrifugal </t>
  </si>
  <si>
    <t>Electric Generators</t>
  </si>
  <si>
    <t>2.1.1</t>
  </si>
  <si>
    <t xml:space="preserve"> Motor Driven (Diesel, Gas motor)</t>
  </si>
  <si>
    <t>2.1.1.1</t>
  </si>
  <si>
    <t xml:space="preserve"> Motor Driven (Diesel, Gas motor) Emergency Power </t>
  </si>
  <si>
    <t>2.1.1.1.1</t>
  </si>
  <si>
    <t xml:space="preserve"> Motor Driven (Diesel, Gas motor) Emergency Power (-1000 KVA)</t>
  </si>
  <si>
    <t>2.1.1.1.2</t>
  </si>
  <si>
    <t xml:space="preserve"> Motor Driven (Diesel, Gas motor) Emergency Power Unknown</t>
  </si>
  <si>
    <t>2.1.1.2</t>
  </si>
  <si>
    <t xml:space="preserve"> Motor Driven (Diesel, Gas motor)  Main Power</t>
  </si>
  <si>
    <t>2.1.1.2.1</t>
  </si>
  <si>
    <t>Motor Driven (Diesel, Gas motor)  Main Power  (-1000 KVA)</t>
  </si>
  <si>
    <t>2.1.1.2.2</t>
  </si>
  <si>
    <t xml:space="preserve"> Motor Driven (Diesel, Gas motor)  Main Power  (1000 - 3000 KVA)</t>
  </si>
  <si>
    <t>2.1.1.3</t>
  </si>
  <si>
    <t xml:space="preserve"> Motor Driven (Diesel, Gas motor)  Water FireFighting </t>
  </si>
  <si>
    <t>2.1.1.3.1</t>
  </si>
  <si>
    <t xml:space="preserve"> Motor Driven (Diesel, Gas motor)  Water FireFighting   (-1000 KVA)</t>
  </si>
  <si>
    <t>2.1.2</t>
  </si>
  <si>
    <t xml:space="preserve"> Turbine Driven (gas, steam)</t>
  </si>
  <si>
    <t>2.1.2.1</t>
  </si>
  <si>
    <t xml:space="preserve"> Turbine Driven (gas, steam) essential Power</t>
  </si>
  <si>
    <t>2.1.2.1.1</t>
  </si>
  <si>
    <t xml:space="preserve"> Turbine Driven (gas, steam) essential Power (1000-3000)KVA</t>
  </si>
  <si>
    <t>2.1.2.2</t>
  </si>
  <si>
    <t xml:space="preserve"> Turbine Driven (gas, steam) essential Power Main Power </t>
  </si>
  <si>
    <t>2.1.2.2.1</t>
  </si>
  <si>
    <t xml:space="preserve"> Turbine Driven (gas, steam) essential Power Main Power (-1000KVA)</t>
  </si>
  <si>
    <t>2.1.2.2.2</t>
  </si>
  <si>
    <t xml:space="preserve"> Turbine Driven (gas, steam) essential Power Main Power (3000-10000)KVA</t>
  </si>
  <si>
    <t>2.1.2.2.3</t>
  </si>
  <si>
    <t xml:space="preserve"> Turbine Driven (gas, steam) essential Power Main Power (20000-30000)KVA</t>
  </si>
  <si>
    <t>2.2</t>
  </si>
  <si>
    <t>Electric Equipment</t>
  </si>
  <si>
    <t xml:space="preserve">Electric Motors </t>
  </si>
  <si>
    <t>Compressor</t>
  </si>
  <si>
    <t>2.2.1.1</t>
  </si>
  <si>
    <t>Compressor Cooling Systems</t>
  </si>
  <si>
    <t>2.2.1.2</t>
  </si>
  <si>
    <t>Compressor Gas (re) Injection</t>
  </si>
  <si>
    <t>2.2.1.3</t>
  </si>
  <si>
    <t>Compressor Gas export</t>
  </si>
  <si>
    <t>2.2.1.4</t>
  </si>
  <si>
    <t>Compressor Gas Processing</t>
  </si>
  <si>
    <t>2.2.1.5</t>
  </si>
  <si>
    <t>Compressor Gas Treatment</t>
  </si>
  <si>
    <t>2.2.2</t>
  </si>
  <si>
    <t>Electric Motor Pumps</t>
  </si>
  <si>
    <t>2.2.2.1</t>
  </si>
  <si>
    <t xml:space="preserve">Electric Motor Pump Chemical Injection </t>
  </si>
  <si>
    <t>2.2.2.2</t>
  </si>
  <si>
    <t>Electric Motor Pump Combined Function</t>
  </si>
  <si>
    <t>2.2.2.3</t>
  </si>
  <si>
    <t xml:space="preserve">Electric Motor Pump Condensate Processing </t>
  </si>
  <si>
    <t>2.2.2.4</t>
  </si>
  <si>
    <t>Electric Motor Pump Cooling Systems</t>
  </si>
  <si>
    <t>2.2.2.5</t>
  </si>
  <si>
    <t>Electric Motor Pump Crude Oil Handling</t>
  </si>
  <si>
    <t>2.2.2.6</t>
  </si>
  <si>
    <t>Electric Motor Pump  Flare, Vent &amp;Blow-Down</t>
  </si>
  <si>
    <t>2.2.2.7</t>
  </si>
  <si>
    <t>Electric Motor Pump Gas Processing</t>
  </si>
  <si>
    <t>2.2.2.8</t>
  </si>
  <si>
    <t>Electric Motor Pump Gas Production</t>
  </si>
  <si>
    <t>2.2.2.9</t>
  </si>
  <si>
    <t>Electric Motor Pump Gas Treatment</t>
  </si>
  <si>
    <t>2.2.2.10</t>
  </si>
  <si>
    <t>Electric Motor Pump Heating Medium</t>
  </si>
  <si>
    <t>2.2.2.11</t>
  </si>
  <si>
    <t>Electric Motor Pump Oil Processing</t>
  </si>
  <si>
    <t>2.2.2.12</t>
  </si>
  <si>
    <t>Electric Motor Pump Oily Water  Treatment</t>
  </si>
  <si>
    <t>2.2.2.13</t>
  </si>
  <si>
    <t>Electric Motor Pump Sea Water lift</t>
  </si>
  <si>
    <t>2.2.2.14</t>
  </si>
  <si>
    <t>Electric Motor Pump Water fire Fighting</t>
  </si>
  <si>
    <t>2.2.2.15</t>
  </si>
  <si>
    <t>Electric Motor Pump Water Injection</t>
  </si>
  <si>
    <t>Mechanical Equipment</t>
  </si>
  <si>
    <t>1E -4</t>
  </si>
  <si>
    <t>Heat Exchangers Plate</t>
  </si>
  <si>
    <t>3.1.1.1</t>
  </si>
  <si>
    <r>
      <t xml:space="preserve">Heat Exchangers Plate Gas - </t>
    </r>
    <r>
      <rPr>
        <sz val="11"/>
        <color theme="1"/>
        <rFont val="Calibri"/>
        <family val="2"/>
      </rPr>
      <t>&gt;Wat/Glycol</t>
    </r>
  </si>
  <si>
    <t>3.1.1.2</t>
  </si>
  <si>
    <r>
      <t xml:space="preserve">Heat Exchangers Plate Gas - </t>
    </r>
    <r>
      <rPr>
        <sz val="11"/>
        <color theme="1"/>
        <rFont val="Calibri"/>
        <family val="2"/>
      </rPr>
      <t>&gt;Wat/Glycol -&gt;Crude Oil</t>
    </r>
  </si>
  <si>
    <t>3.1.1.3</t>
  </si>
  <si>
    <r>
      <t>Heat Exchangers Plate Water /Glycol-</t>
    </r>
    <r>
      <rPr>
        <sz val="11"/>
        <color theme="1"/>
        <rFont val="Calibri"/>
        <family val="2"/>
      </rPr>
      <t>&gt; Sea Water</t>
    </r>
  </si>
  <si>
    <t>3.1.2</t>
  </si>
  <si>
    <t>Heat Exchangers Plate Fin</t>
  </si>
  <si>
    <t>3.1.2.1</t>
  </si>
  <si>
    <t>Heat Exchangers Plate Fin Air - &gt; Sea Water</t>
  </si>
  <si>
    <t>3.1.2.2</t>
  </si>
  <si>
    <t xml:space="preserve">Heat Exchangers Plate Fin Gas - &gt;  Air </t>
  </si>
  <si>
    <t>3.1.3</t>
  </si>
  <si>
    <t>Heat Exchangers Printed Circuit</t>
  </si>
  <si>
    <t>3.1.3.1</t>
  </si>
  <si>
    <t>Heat Exchangers Printed Circuit Gas  - &gt; Gas</t>
  </si>
  <si>
    <t>Heat Exchangers Printed Circuit Gas  - &gt; Gas/ Conden</t>
  </si>
  <si>
    <t>Heat Exchangers Printed Circuit Gas  - &gt; Wat/Glycol</t>
  </si>
  <si>
    <t>3.1.4</t>
  </si>
  <si>
    <t>Heat Exchangers Shell and Tube</t>
  </si>
  <si>
    <t>3.1.4.1</t>
  </si>
  <si>
    <t>Heat Exchangers Shell and Tube Condensate - &gt; Gas</t>
  </si>
  <si>
    <t>3.1.4.2</t>
  </si>
  <si>
    <t>Heat Exchangers Shell and Tube Hc - Comb- &gt; Hc -Comb</t>
  </si>
  <si>
    <t>Vessels Coalescer</t>
  </si>
  <si>
    <t>Vessels Coalescer (-10 ) m3</t>
  </si>
  <si>
    <t>3.2.1.2</t>
  </si>
  <si>
    <t>Vessels Coalescer (10 - 1000 ) m3</t>
  </si>
  <si>
    <t>Vessels Contactor</t>
  </si>
  <si>
    <t>3.2.2.1</t>
  </si>
  <si>
    <t>Vessels Contactor (-10 ) m3</t>
  </si>
  <si>
    <t>3.2.2.2</t>
  </si>
  <si>
    <t>Vessels Contactor  (10 - 1000 ) m3</t>
  </si>
  <si>
    <t>3.2.3</t>
  </si>
  <si>
    <t>Vessels Destillation Column</t>
  </si>
  <si>
    <t>3.2.3.1</t>
  </si>
  <si>
    <t>Vessels Destillation Column (10 - 1000 ) m3</t>
  </si>
  <si>
    <t xml:space="preserve">Vessels Flash Drum </t>
  </si>
  <si>
    <t>3E -4</t>
  </si>
  <si>
    <t>3.2.4.1</t>
  </si>
  <si>
    <t>Vessels Flash Drum  (-10 ) m3</t>
  </si>
  <si>
    <t>3.2.4.2</t>
  </si>
  <si>
    <t>Vessels Flash Drum  (10 - 1000 )m3</t>
  </si>
  <si>
    <t>3.2.4.3</t>
  </si>
  <si>
    <t>Vessels Flash Drum Unknown</t>
  </si>
  <si>
    <t>3.2.5</t>
  </si>
  <si>
    <t xml:space="preserve">Vessels Flash Drum Hydrocyclone </t>
  </si>
  <si>
    <t>3.2.5.1</t>
  </si>
  <si>
    <t>Vessels Flash Drum Hydrocyclone (-10 ) m3</t>
  </si>
  <si>
    <t>3.2.5.2</t>
  </si>
  <si>
    <t>Vessels Flash Drum Hydrocyclone Unknown</t>
  </si>
  <si>
    <t>3.2.6</t>
  </si>
  <si>
    <t>Vessels Mol Sieve Dryer</t>
  </si>
  <si>
    <t>3.2.6.1</t>
  </si>
  <si>
    <t>Vessels Mol Sieve Dryer (10 - 1000 ) m3</t>
  </si>
  <si>
    <t>Vessels Scrubber</t>
  </si>
  <si>
    <t>3.2.7.1</t>
  </si>
  <si>
    <t>Vessels Scrubber  (-10 ) m3</t>
  </si>
  <si>
    <t>3.2.7.2</t>
  </si>
  <si>
    <t>Vessels Scrubber (10 - 1000 ) m3</t>
  </si>
  <si>
    <t>Vessels Separator</t>
  </si>
  <si>
    <t>3.2.8.1</t>
  </si>
  <si>
    <t>Vessels Separator (-10 ) m3</t>
  </si>
  <si>
    <t>3.2.8.2</t>
  </si>
  <si>
    <t>Vessels Separator (10 - 1000 ) m3</t>
  </si>
  <si>
    <t>Vessels Separator Unknown</t>
  </si>
  <si>
    <t>3.2.9</t>
  </si>
  <si>
    <t>Vessels Stripper</t>
  </si>
  <si>
    <t>3.2.9.1</t>
  </si>
  <si>
    <t>Vessels Stripper (-10 ) m3</t>
  </si>
  <si>
    <t>3.2.10</t>
  </si>
  <si>
    <t xml:space="preserve">Vessels Surge Drum </t>
  </si>
  <si>
    <t>3.2.10.1</t>
  </si>
  <si>
    <t>Vessels Surge Drum  (-10 ) m3</t>
  </si>
  <si>
    <t>3.2.10.2</t>
  </si>
  <si>
    <t>Vessels Surge Drum  (10 - 1000 ) m3</t>
  </si>
  <si>
    <t>3.2.10.3</t>
  </si>
  <si>
    <t>Vessels Surge Drum Unknown</t>
  </si>
  <si>
    <t xml:space="preserve">Heaters and Boilers </t>
  </si>
  <si>
    <t>3.3.1</t>
  </si>
  <si>
    <t>Heaters and Boilers  Direct Hc Fired  heater</t>
  </si>
  <si>
    <t>3.3.1.1</t>
  </si>
  <si>
    <t xml:space="preserve">Heaters and Boilers  Direct Hc Fired  heater Heating Medium </t>
  </si>
  <si>
    <t>3.3.2</t>
  </si>
  <si>
    <t xml:space="preserve">Heaters and Boilers  Electric Boiler </t>
  </si>
  <si>
    <t>3.3.2.1</t>
  </si>
  <si>
    <t>Heaters and Boilers  Electric Boiler Gas Treatment</t>
  </si>
  <si>
    <t>3.3.3</t>
  </si>
  <si>
    <t>Heaters and Boilers Hc Fired Boiler</t>
  </si>
  <si>
    <t>3.3.3.1</t>
  </si>
  <si>
    <t xml:space="preserve">Heaters and Boilers Hc Fired Boiler  Heating Medium </t>
  </si>
  <si>
    <t>3.3.3.2</t>
  </si>
  <si>
    <t>Heaters and Boilers Hc Fired Boiler  Oil Processing</t>
  </si>
  <si>
    <t>3.3.4</t>
  </si>
  <si>
    <t>Heaters and Boilers Non- Hc Fired Boiler</t>
  </si>
  <si>
    <t>3.3.4.1</t>
  </si>
  <si>
    <t xml:space="preserve">Heaters and Boilers Non- Hc Fired Boiler Gas Treatment </t>
  </si>
  <si>
    <t>3.3.4.2</t>
  </si>
  <si>
    <t xml:space="preserve">Heaters and Boilers Non- Hc Fired Boiler  Heating Medium </t>
  </si>
  <si>
    <t>4.1</t>
  </si>
  <si>
    <t>Control and Safety Equipment</t>
  </si>
  <si>
    <t>Fire &amp;Gas Detectors</t>
  </si>
  <si>
    <t>4.1.1</t>
  </si>
  <si>
    <t>Fire &amp;Gas Detectors Flame</t>
  </si>
  <si>
    <t>4.1.1.1</t>
  </si>
  <si>
    <t>Fire &amp;Gas Detectors Flame Infrared</t>
  </si>
  <si>
    <t>4.1.2</t>
  </si>
  <si>
    <t xml:space="preserve">Fire &amp;Gas Detectors H2S Gas </t>
  </si>
  <si>
    <t>4.1.2.1</t>
  </si>
  <si>
    <t>Fire &amp;Gas Detectors H2S Gas  H2S Gas</t>
  </si>
  <si>
    <t>4.1.3</t>
  </si>
  <si>
    <t>Fire &amp;Gas Detectors Heat</t>
  </si>
  <si>
    <t>4.1.3.1</t>
  </si>
  <si>
    <t xml:space="preserve">Fire &amp;Gas Detectors Heat Rate Compensated </t>
  </si>
  <si>
    <t>4.1.4</t>
  </si>
  <si>
    <t>Fire &amp;Gas Detectors Hydrocarbon Gas</t>
  </si>
  <si>
    <t>4.1.4.1</t>
  </si>
  <si>
    <t>Fire &amp;Gas Detectors Hydrocarbon Gas Infrared</t>
  </si>
  <si>
    <t>4.1.4.2</t>
  </si>
  <si>
    <t>Fire &amp;Gas Detectors Hydrocarbon Photoelectric Beam</t>
  </si>
  <si>
    <t>4.1.5</t>
  </si>
  <si>
    <t>Fire &amp;Gas Detectors Smoke / combustion</t>
  </si>
  <si>
    <t>4.1.5.1</t>
  </si>
  <si>
    <t>Fire &amp;Gas Detectors Smoke / combustion  Infrared</t>
  </si>
  <si>
    <t>4.1.5.2</t>
  </si>
  <si>
    <t>Fire &amp;Gas Detectors Smoke / combustion  Photoelectric</t>
  </si>
  <si>
    <t>4.2</t>
  </si>
  <si>
    <t>Process Sensors</t>
  </si>
  <si>
    <t>4.2.1</t>
  </si>
  <si>
    <t>Process Sensors Flow</t>
  </si>
  <si>
    <t>4.2.1.1</t>
  </si>
  <si>
    <t>Process Sensors Flow Electromech</t>
  </si>
  <si>
    <t>4.2.1.2</t>
  </si>
  <si>
    <t xml:space="preserve">Process Sensors Flow unknown </t>
  </si>
  <si>
    <t>4.2.2</t>
  </si>
  <si>
    <t>Process Sensors Level</t>
  </si>
  <si>
    <t>4.2.2.1</t>
  </si>
  <si>
    <t>Process Sensors Level Displacement</t>
  </si>
  <si>
    <t>4.2.2.2</t>
  </si>
  <si>
    <t>Process Sensors Level Magnetic</t>
  </si>
  <si>
    <t>4.2.3</t>
  </si>
  <si>
    <t xml:space="preserve">Process Sensors Pressure </t>
  </si>
  <si>
    <t>4.2.3.1</t>
  </si>
  <si>
    <t>Process Sensors Pressure  Capacitance</t>
  </si>
  <si>
    <t>4.2.3.2</t>
  </si>
  <si>
    <t>Process Sensors Pressure Electromech</t>
  </si>
  <si>
    <t>4.2.3.3</t>
  </si>
  <si>
    <t>Process Sensors Pressure Piezoelectr</t>
  </si>
  <si>
    <t>4.2.3.4</t>
  </si>
  <si>
    <t>Process Sensors Pressure Semic. Str</t>
  </si>
  <si>
    <t>4.2.4</t>
  </si>
  <si>
    <t>Process Sensors Temperature</t>
  </si>
  <si>
    <t>4.2.4.1</t>
  </si>
  <si>
    <t>Process Sensors Temperature Capillary</t>
  </si>
  <si>
    <t>4.2.4.2</t>
  </si>
  <si>
    <t xml:space="preserve">Process Sensors Temperature Resistance </t>
  </si>
  <si>
    <t>4.2.4.3</t>
  </si>
  <si>
    <t>Process Sensors Temperature Thermocouple</t>
  </si>
  <si>
    <t>4.3</t>
  </si>
  <si>
    <t>CLU</t>
  </si>
  <si>
    <t xml:space="preserve">Control Logic Units </t>
  </si>
  <si>
    <t>4.3.1</t>
  </si>
  <si>
    <t>Control Logic Units  Emergency Shutdown (ESD)</t>
  </si>
  <si>
    <t>4.3.1.1</t>
  </si>
  <si>
    <t>Control Logic Units  Emergency Shutdown (ESD) Computer</t>
  </si>
  <si>
    <t>4.3.2</t>
  </si>
  <si>
    <t>Control Logic Units F&amp;G Detection</t>
  </si>
  <si>
    <t>4.3.2.1</t>
  </si>
  <si>
    <t>Control Logic Units F&amp;G Detection Computer</t>
  </si>
  <si>
    <t>4.3.3</t>
  </si>
  <si>
    <t>Control Logic Units Process Control</t>
  </si>
  <si>
    <t>4.3.3.1</t>
  </si>
  <si>
    <t xml:space="preserve">Control Logic Units Process Control Computer </t>
  </si>
  <si>
    <t>4.3.4</t>
  </si>
  <si>
    <t xml:space="preserve">Control Logic Units Process Shutdown </t>
  </si>
  <si>
    <t>4.3.4.1</t>
  </si>
  <si>
    <t>Control Logic Units Process Shutdown  Computer</t>
  </si>
  <si>
    <t>4.3.5</t>
  </si>
  <si>
    <t>Control Logic Units Process Shutdown and ESD</t>
  </si>
  <si>
    <t>4.3.5.1</t>
  </si>
  <si>
    <t>Control Logic Units Process Shutdown and ESD Computer</t>
  </si>
  <si>
    <t>4.4</t>
  </si>
  <si>
    <t xml:space="preserve">Valves Described By Application </t>
  </si>
  <si>
    <t>4.4.1</t>
  </si>
  <si>
    <t>Valves Described By Application  Annulus master</t>
  </si>
  <si>
    <t>4.4.1.1</t>
  </si>
  <si>
    <t>Valves Described By Application  Annulus master Ball</t>
  </si>
  <si>
    <t>4.4.1.1.1</t>
  </si>
  <si>
    <t>Valves Described By Application  Annulus master Ball (5.1-10) inch</t>
  </si>
  <si>
    <t xml:space="preserve">Valves Described By Application  Blowdown </t>
  </si>
  <si>
    <t>Valves Described By Application  Blowdown  Ball</t>
  </si>
  <si>
    <t>4.4.2.1.1</t>
  </si>
  <si>
    <t>Valves Described By Application  Blowdown  Ball (1.1-5.0) Inch</t>
  </si>
  <si>
    <t>4.4.2.1.2</t>
  </si>
  <si>
    <t xml:space="preserve">Valves Described By Application  Blowdown  Ball  </t>
  </si>
  <si>
    <t>4.4.2.1.3</t>
  </si>
  <si>
    <t xml:space="preserve">Valves Described By Application  Blowdown  Ball  Unkown </t>
  </si>
  <si>
    <t>4.4.2.2</t>
  </si>
  <si>
    <t xml:space="preserve">Valves Described By Application  Blowdown Multiple Orifice </t>
  </si>
  <si>
    <t>4.4.2.2.1</t>
  </si>
  <si>
    <t xml:space="preserve">Valves Described By Application  Blowdown Multiple Orifice  Unkown </t>
  </si>
  <si>
    <t>4.4.3</t>
  </si>
  <si>
    <t>Valves Described By Application  Combined</t>
  </si>
  <si>
    <t>4.4.3.1</t>
  </si>
  <si>
    <t>Valves Described By Application  Combined Ball</t>
  </si>
  <si>
    <t>4.4.3.1.1</t>
  </si>
  <si>
    <t>Valves Described By Application  Combined Ball (20.1 - 30) Inch</t>
  </si>
  <si>
    <t>4.4.4</t>
  </si>
  <si>
    <t>Valves Described By Application  Deluge</t>
  </si>
  <si>
    <t>4.4.4.1</t>
  </si>
  <si>
    <t>Valves Described By Application  Deluge Diaphragm</t>
  </si>
  <si>
    <t>4.4.4.1.1</t>
  </si>
  <si>
    <t>Valves Described By Application  Deluge Diaphragm (1.1 -5.0) Inch</t>
  </si>
  <si>
    <t>4.4.4.1.2</t>
  </si>
  <si>
    <t>Valves Described By Application  Deluge Diaphragm (5.1-10) Inch</t>
  </si>
  <si>
    <t>4.4.4.1.3</t>
  </si>
  <si>
    <t xml:space="preserve">Valves Described By Application  Deluge Diaphragm Unkown </t>
  </si>
  <si>
    <t>Valves Described By Application ESD</t>
  </si>
  <si>
    <t>4.4.5.1</t>
  </si>
  <si>
    <t xml:space="preserve">Valves Described By Application ESD Ball </t>
  </si>
  <si>
    <t>4.4.5.1.1</t>
  </si>
  <si>
    <t>Valves Described By Application ESD Ball  (1.1 -5.0) Inch</t>
  </si>
  <si>
    <t>4.4.5.1.2</t>
  </si>
  <si>
    <t>Valves Described By Application ESD Ball  (5.1-10) Inch</t>
  </si>
  <si>
    <t>4.4.5.1.3</t>
  </si>
  <si>
    <t>Valves Described By Application ESD Ball  (10.1-20) Inch</t>
  </si>
  <si>
    <t>4.4.5.1.4</t>
  </si>
  <si>
    <t>Valves Described By Application ESD Ball  (20.1 - 30) Inch</t>
  </si>
  <si>
    <t>4.4.5.1.5</t>
  </si>
  <si>
    <t>Valves Described By Application ESD Ball  (30.1 - 40) Inch</t>
  </si>
  <si>
    <t>4.4.5.1.6</t>
  </si>
  <si>
    <t xml:space="preserve">Valves Described By Application ESD Ball Unkown </t>
  </si>
  <si>
    <t>4.4.5.2</t>
  </si>
  <si>
    <t>Valves Described By Application ESD Butterfly</t>
  </si>
  <si>
    <t>4.4.5.2.1</t>
  </si>
  <si>
    <t>Valves Described By Application ESD Butterfly  (5.1-10) Inch</t>
  </si>
  <si>
    <t>4.4.5.3</t>
  </si>
  <si>
    <t>Valves Described By Application ESD Gate</t>
  </si>
  <si>
    <t>4.4.5.3.1</t>
  </si>
  <si>
    <t>Valves Described By Application ESD Gate (1.1 -5.0) Inch</t>
  </si>
  <si>
    <t>4.4.5.3.2</t>
  </si>
  <si>
    <t>Valves Described By Application ESD Gate  (5.1-10) Inch</t>
  </si>
  <si>
    <t>4.4.5.3.3</t>
  </si>
  <si>
    <t>Valves Described By Application ESD Gate  (10.1-20) Inch</t>
  </si>
  <si>
    <t>4.4.5.3.4</t>
  </si>
  <si>
    <t>Valves Described By Application ESD Gate  (20.1-30) Inch</t>
  </si>
  <si>
    <t>4.4.5.3.5</t>
  </si>
  <si>
    <t>Valves Described By Application ESD Gate  (30.1-40) Inch</t>
  </si>
  <si>
    <t>4.4.5.4</t>
  </si>
  <si>
    <t>Valves Described By Application ESD Plug</t>
  </si>
  <si>
    <t>4.4.5.4.1</t>
  </si>
  <si>
    <t>Valves Described By Application ESD Plug (1.1 -5.0) Inch</t>
  </si>
  <si>
    <t>4.4.6</t>
  </si>
  <si>
    <t>Valves Described By Application ESD / PSD</t>
  </si>
  <si>
    <t>4.4.6.1</t>
  </si>
  <si>
    <t xml:space="preserve">Valves Described By Application ESD / PSD Gate </t>
  </si>
  <si>
    <t>4.4.6.1.1</t>
  </si>
  <si>
    <t>Valves Described By Application ESD / PSD Gate (1.1 -5.0) Inch</t>
  </si>
  <si>
    <t>4.4.7</t>
  </si>
  <si>
    <t>Valves Described By Application Injection Master</t>
  </si>
  <si>
    <t>4.4.7.1</t>
  </si>
  <si>
    <t xml:space="preserve">Valves Described By Application Injection Master Gate </t>
  </si>
  <si>
    <t>4.4.7.1.1</t>
  </si>
  <si>
    <t>Valves Described By Application Injection Master Gate (1.1 -5.0) Inch</t>
  </si>
  <si>
    <t>4.4.7.1.2</t>
  </si>
  <si>
    <t>Valves Described By Application Injection Master Gate (5.1 -10) Inch</t>
  </si>
  <si>
    <t>4.4.8</t>
  </si>
  <si>
    <t>Valves Described By Application Non - Returm</t>
  </si>
  <si>
    <t>4.4.8.1</t>
  </si>
  <si>
    <t>Valves Described By Application Non - Returm Check</t>
  </si>
  <si>
    <t>4.4.8.1.1</t>
  </si>
  <si>
    <t>Valves Described By Application Non - Returm Check (1.1 -5.0) Inch</t>
  </si>
  <si>
    <t>4.4.8.1.2</t>
  </si>
  <si>
    <t>Valves Described By Application Non - Returm Check (5.1 -10) Inch</t>
  </si>
  <si>
    <t>4.4.8.1.3</t>
  </si>
  <si>
    <t>Valves Described By Application Non - Returm Check (10.1 -20) Inch</t>
  </si>
  <si>
    <t>4.4.8.1.4</t>
  </si>
  <si>
    <t>Valves Described By Application Non - Returm Check (20.1 -30) Inch</t>
  </si>
  <si>
    <t>4.4.8.1.5</t>
  </si>
  <si>
    <t>Valves Described By Application Non - Returm Check Unknown</t>
  </si>
  <si>
    <t>4.4.9</t>
  </si>
  <si>
    <t>Valves Described By Application Pressure Reduction</t>
  </si>
  <si>
    <t>4.4.9.1</t>
  </si>
  <si>
    <t>Valves Described By Application Pressure Reduction Check</t>
  </si>
  <si>
    <t>4.4.9.1.1</t>
  </si>
  <si>
    <t xml:space="preserve">Valves Described By Application Pressure Reduction Check Unknown </t>
  </si>
  <si>
    <t>4.4.9.2</t>
  </si>
  <si>
    <t>Valves Described By Application Pressure Reduction Globe</t>
  </si>
  <si>
    <t>4.4.9.2.1</t>
  </si>
  <si>
    <t>Valves Described By Application Pressure Reduction Globe  (1.1 -5.0) Inch</t>
  </si>
  <si>
    <t>4.4.10</t>
  </si>
  <si>
    <t>Valves Described By Application Process Control</t>
  </si>
  <si>
    <t>4.4.10.1</t>
  </si>
  <si>
    <t>Valves Described By Application Process Control Ball</t>
  </si>
  <si>
    <t>4.4.10.1.1</t>
  </si>
  <si>
    <t>Valves Described By Application Process Control Ball (1.1 -5.0) Inch</t>
  </si>
  <si>
    <t>4.4.10.1.2</t>
  </si>
  <si>
    <t>Valves Described By Application Process Control Ball (5.1 -10) Inch</t>
  </si>
  <si>
    <t>4.4.10.1.3</t>
  </si>
  <si>
    <t>Valves Described By Application Process Control Ball (20.1 -30) Inch</t>
  </si>
  <si>
    <t>4.4.10.2</t>
  </si>
  <si>
    <t xml:space="preserve">Valves Described By Application Process Control Butterfly </t>
  </si>
  <si>
    <t>4.4.10.2.1</t>
  </si>
  <si>
    <t>Valves Described By Application Process Control Butterfly (5.1 -10) Inch</t>
  </si>
  <si>
    <t>4.4.10.3</t>
  </si>
  <si>
    <t xml:space="preserve">Valves Described By Application Process Control Check  </t>
  </si>
  <si>
    <t>4.4.10.3.1</t>
  </si>
  <si>
    <t>Valves Described By Application Process Control Check (1.1 -5.0) Inch</t>
  </si>
  <si>
    <t>4.4.10.4</t>
  </si>
  <si>
    <t xml:space="preserve">Valves Described By Application Process Control Gate </t>
  </si>
  <si>
    <t>4.4.10.4.1</t>
  </si>
  <si>
    <t>Valves Described By Application Process Control Gate (20.1-30) Inch</t>
  </si>
  <si>
    <t>4.4.10.5</t>
  </si>
  <si>
    <t>Valves Described By Application Process Control Globe</t>
  </si>
  <si>
    <t>4.4.10.5.1</t>
  </si>
  <si>
    <t>Valves Described By Application Process Control Globe (1.1 -5.0) Inch</t>
  </si>
  <si>
    <t>4.4.10.5.2</t>
  </si>
  <si>
    <t>Valves Described By Application Process Control Globe (5.1 -10) Inch</t>
  </si>
  <si>
    <t>4.4.10.5.3</t>
  </si>
  <si>
    <t>Valves Described By Application Process Control Globe Unknown</t>
  </si>
  <si>
    <t>4.4.11</t>
  </si>
  <si>
    <t>Valves Described By Application Production Master</t>
  </si>
  <si>
    <t>4.4.11.1</t>
  </si>
  <si>
    <t xml:space="preserve">Valves Described By Application Production Master Gate </t>
  </si>
  <si>
    <t>4.4.11.1.1</t>
  </si>
  <si>
    <t>Valves Described By Application Production Master Gate (1.1 -5.0) Inch</t>
  </si>
  <si>
    <t>4.4.11.1.2</t>
  </si>
  <si>
    <t>Valves Described By Application Production Master Gate (5.1 -10) Inch</t>
  </si>
  <si>
    <t>4.4.12</t>
  </si>
  <si>
    <t>Valves Described By Application PDS</t>
  </si>
  <si>
    <t>4.4.12.1</t>
  </si>
  <si>
    <t>Valves Described By Application PDS Butterfly</t>
  </si>
  <si>
    <t>4.4.12.1.1</t>
  </si>
  <si>
    <t>Valves Described By Application PDS Butterfly (20.1 - 30) Inch</t>
  </si>
  <si>
    <t>4.4.12.1.2</t>
  </si>
  <si>
    <t>Valves Described By Application PDS Butterfly (30.1 - 40) Inch</t>
  </si>
  <si>
    <t>4.4.12.2</t>
  </si>
  <si>
    <t>Valves Described By Application PDS Gate</t>
  </si>
  <si>
    <t>4.4.12.2.1</t>
  </si>
  <si>
    <t>Valves Described By Application PDS Gate  (10.1 - 20) Inch</t>
  </si>
  <si>
    <t>4.4.12.3</t>
  </si>
  <si>
    <t>Valves Described By Application PDS PSV- Conventional</t>
  </si>
  <si>
    <t>4.4.12.3.1</t>
  </si>
  <si>
    <t>Valves Described By Application PDS PSV- Conventional  (1.1 -5.0) Inch</t>
  </si>
  <si>
    <t>4.4.13</t>
  </si>
  <si>
    <t xml:space="preserve">Valves Described By Application Relief </t>
  </si>
  <si>
    <t>4.4.13.1</t>
  </si>
  <si>
    <t>Valves Described By Application Relief  Ball</t>
  </si>
  <si>
    <t>4.4.13.1.1</t>
  </si>
  <si>
    <t>Valves Described By Application Relief  Ball  (1.1 -5.0) Inch</t>
  </si>
  <si>
    <t>4.4.13.2</t>
  </si>
  <si>
    <t>Valves Described By Application Relief Check</t>
  </si>
  <si>
    <t>4.4.13.2.1</t>
  </si>
  <si>
    <t>Valves Described By Application Relief Check (1.1 -5.0) Inch</t>
  </si>
  <si>
    <t>4.4.13.3</t>
  </si>
  <si>
    <t>Valves Described By Application Relief Globe</t>
  </si>
  <si>
    <t>4.4.13.3.1</t>
  </si>
  <si>
    <t>Valves Described By Application Relief Globe (1.1 -5.0) Inch</t>
  </si>
  <si>
    <t>Valves Described By Application Relief  PSV - Conventional</t>
  </si>
  <si>
    <t>4.4.13.4.1</t>
  </si>
  <si>
    <t>Valves Described By Application Relief  PSV - Conventional   (1.1 -5.0) Inch</t>
  </si>
  <si>
    <t>4.4.13.4.2</t>
  </si>
  <si>
    <t>Valves Described By Application Relief  PSV - Conventional  Unknown</t>
  </si>
  <si>
    <t>4.4.13.5</t>
  </si>
  <si>
    <t>Valves Described By Application Relief  PSV - Conventional  w/bellows</t>
  </si>
  <si>
    <t>4.4.13.5.1</t>
  </si>
  <si>
    <t>Valves Described By Application Relief  PSV - Conventional  w/bellows (1.1 -5.0) Inch</t>
  </si>
  <si>
    <t>4.4.13.5.2</t>
  </si>
  <si>
    <t>Valves Described By Application Relief  PSV - Conventional  w/bellows (5.1 -10) Inch</t>
  </si>
  <si>
    <t>4.4.13.6</t>
  </si>
  <si>
    <t>Valves Described By Application Relief  PSV - Pilot Operated</t>
  </si>
  <si>
    <t>4.4.13.6.1</t>
  </si>
  <si>
    <t>Valves Described By Application Relief  PSV - Pilot Operated  (1.1 -5.0) Inch</t>
  </si>
  <si>
    <t>4.4.13.6.2</t>
  </si>
  <si>
    <t>Valves Described By Application Relief  PSV - Pilot Operated  (5.1 -10) Inch</t>
  </si>
  <si>
    <t>4.4.13.6.3</t>
  </si>
  <si>
    <t xml:space="preserve">Valves Described By Application Relief  PSV - Pilot Operated Unknown </t>
  </si>
  <si>
    <t>4.4.14</t>
  </si>
  <si>
    <t>Valves Described By Application Shut-Off</t>
  </si>
  <si>
    <t>4.4.14.1</t>
  </si>
  <si>
    <t>Valves Described By Application Shut-Off  Ball</t>
  </si>
  <si>
    <t>4.4.14.1.1</t>
  </si>
  <si>
    <t>Valves Described By Application Shut-Off  Ball (10.1 - 20) Inch</t>
  </si>
  <si>
    <t>4.4.14.1.2</t>
  </si>
  <si>
    <t>Valves Described By Application Shut-Off  Ball (20.1 - 30) Inch</t>
  </si>
  <si>
    <t>4.4.14.1.3</t>
  </si>
  <si>
    <t>Valves Described By Application Shut-Off  Ball (30.1 - 40) Inch</t>
  </si>
  <si>
    <t>4.4.14.2</t>
  </si>
  <si>
    <t>Valves Described By Application Shut-Off  Butterfly</t>
  </si>
  <si>
    <t>4.4.14.2.1</t>
  </si>
  <si>
    <t>Valves Described By Application Shut-Off  Butterfly (10.1 - 20) Inch</t>
  </si>
  <si>
    <t>4.4.14.3</t>
  </si>
  <si>
    <t>Valves Described By Application Shut-Off  Gate</t>
  </si>
  <si>
    <t>4.4.14.3.1</t>
  </si>
  <si>
    <t>Valves Described By Application Shut-Off  Gate   (1.1 -5.0) Inch</t>
  </si>
  <si>
    <t>4.4.14.3.2</t>
  </si>
  <si>
    <t>Valves Described By Application Shut-Off  Gate   (5.1 -10) Inch</t>
  </si>
  <si>
    <t>4.4.14.3.3</t>
  </si>
  <si>
    <t>Valves Described By Application Shut-Off  Gate   (10.1 -20) Inch</t>
  </si>
  <si>
    <t>4.4.14.3.4</t>
  </si>
  <si>
    <t>Valves Described By Application Shut-Off  Gate   (20.1 -30) Inch</t>
  </si>
  <si>
    <t>4.4.15</t>
  </si>
  <si>
    <t xml:space="preserve">Valves Described By Application Unknown </t>
  </si>
  <si>
    <t>4.4.15.1</t>
  </si>
  <si>
    <t>Valves Described By Application Unknown  Ball</t>
  </si>
  <si>
    <t>4.4.15.1.1</t>
  </si>
  <si>
    <t>Valves Described By Application Unknown  Ball   (1.1 -5.0) Inch</t>
  </si>
  <si>
    <t>4.4.15.2</t>
  </si>
  <si>
    <t>Valves Described By Application Unknown  Check</t>
  </si>
  <si>
    <t>4.4.15.2.1</t>
  </si>
  <si>
    <t xml:space="preserve">Valves Described By Application Unknown  Check  Unknown </t>
  </si>
  <si>
    <t>4.4.15.3</t>
  </si>
  <si>
    <t>Valves Described By Application Unknown  Gate</t>
  </si>
  <si>
    <t>4.4.15.3.1</t>
  </si>
  <si>
    <t xml:space="preserve">Valves Described By Application Unknown  Gate  Unknown </t>
  </si>
  <si>
    <t>4.4.15.4</t>
  </si>
  <si>
    <t>Valves Described By Application Unknown  PSV -Conventional</t>
  </si>
  <si>
    <t>4.4.15.4.1</t>
  </si>
  <si>
    <t>Valves Described By Application Unknown  PSV -Conventional Unknown</t>
  </si>
  <si>
    <t>4.4.15.5</t>
  </si>
  <si>
    <t xml:space="preserve">Valves Described By Application Unknown Unknown </t>
  </si>
  <si>
    <t>4.4.15.5.1</t>
  </si>
  <si>
    <t>Valves Described By Application Unknown Unknown  Unknown</t>
  </si>
  <si>
    <t>4.5</t>
  </si>
  <si>
    <t xml:space="preserve">Valves Described By Taxonomy Code </t>
  </si>
  <si>
    <t>4.5.1</t>
  </si>
  <si>
    <t>Valves Described By Taxonomy Code Ball</t>
  </si>
  <si>
    <t>4.5.1.1</t>
  </si>
  <si>
    <t>Valves Described By Taxonomy Code Ball Ballast Water</t>
  </si>
  <si>
    <t>4.5.1.2</t>
  </si>
  <si>
    <t>Valves Described By Taxonomy Code Ball  Crude Oil Handling</t>
  </si>
  <si>
    <t>4.5.1.3</t>
  </si>
  <si>
    <t>Valves Described By Taxonomy Code Ball Electrical Power</t>
  </si>
  <si>
    <t>Valves Described By Taxonomy Code Ball Emergency Shutdown (ESD)</t>
  </si>
  <si>
    <t>4.5.1.5</t>
  </si>
  <si>
    <t>Valves Described By Taxonomy Code Ball Fuel Gas</t>
  </si>
  <si>
    <t>4.5.1.6</t>
  </si>
  <si>
    <t>Valves Described By Taxonomy Code Ball Gas (re) Injection</t>
  </si>
  <si>
    <t>4.5.1.7</t>
  </si>
  <si>
    <t>Valves Described By Taxonomy Code Ball Gas Export</t>
  </si>
  <si>
    <t>4.5.1.8</t>
  </si>
  <si>
    <t xml:space="preserve">Valves Described By Taxonomy Code Ball Gas Processing </t>
  </si>
  <si>
    <t>4.5.1.9</t>
  </si>
  <si>
    <t>Valves Described By Taxonomy Code Ball Gas Treatment</t>
  </si>
  <si>
    <t>4.5.1.10</t>
  </si>
  <si>
    <t xml:space="preserve">Valves Described By Taxonomy Code Ball Oil Export </t>
  </si>
  <si>
    <t>4.5.1.11</t>
  </si>
  <si>
    <t>Valves Described By Taxonomy Code Ball Oil Processing</t>
  </si>
  <si>
    <t>4.5.1.12</t>
  </si>
  <si>
    <t>Valves Described By Taxonomy Code Ball Oil Production</t>
  </si>
  <si>
    <t>4.5.1.13</t>
  </si>
  <si>
    <t>Valves Described By Taxonomy Code Ball Oily Water Treatment</t>
  </si>
  <si>
    <t>4.5.1.14</t>
  </si>
  <si>
    <t xml:space="preserve">Valves Described By Taxonomy Code Ball Utilities </t>
  </si>
  <si>
    <t>4.5.1.15</t>
  </si>
  <si>
    <t>Valves Described By Taxonomy Code Ball Water Fire fighting</t>
  </si>
  <si>
    <t>4.5.2</t>
  </si>
  <si>
    <t>Valves Described By Taxonomy Code Butterfly</t>
  </si>
  <si>
    <t>4.5.2.1</t>
  </si>
  <si>
    <t>Valves Described By Taxonomy Code Butterfly Cooling Systems</t>
  </si>
  <si>
    <t>4.5.2.2</t>
  </si>
  <si>
    <t xml:space="preserve">Valves Described By Taxonomy Code Butterfly  Gas Export </t>
  </si>
  <si>
    <t>4.5.2.3</t>
  </si>
  <si>
    <t xml:space="preserve">Valves Described By Taxonomy Code Butterfly  Oil Export </t>
  </si>
  <si>
    <t>4.5.2.4</t>
  </si>
  <si>
    <t xml:space="preserve">Valves Described By Taxonomy Code Butterfly  Oil Processing </t>
  </si>
  <si>
    <t>4.5.2.5</t>
  </si>
  <si>
    <t>Valves Described By Taxonomy Code Butterfly  Water Fire Fighting</t>
  </si>
  <si>
    <t>4.5.3</t>
  </si>
  <si>
    <t>Valves Described By Taxonomy Code Check</t>
  </si>
  <si>
    <t>4.5.3.1</t>
  </si>
  <si>
    <t>Valves Described By Taxonomy Code Chemical Injection</t>
  </si>
  <si>
    <t>4.5.3.2</t>
  </si>
  <si>
    <t>Valves Described By Taxonomy Code combined Funtion</t>
  </si>
  <si>
    <t>4.5.3.3</t>
  </si>
  <si>
    <t>Valves Described By Taxonomy Code  Check Compressed Air</t>
  </si>
  <si>
    <t>4.5.3.4</t>
  </si>
  <si>
    <t>Valves Described By Taxonomy Code  Check Condensated Processing</t>
  </si>
  <si>
    <t>4.5.3.5</t>
  </si>
  <si>
    <t xml:space="preserve">Valves Described By Taxonomy Code  Check Cooling Systems </t>
  </si>
  <si>
    <t>4.5.3.6</t>
  </si>
  <si>
    <t xml:space="preserve">Valves Described By Taxonomy Code  Check Crude Oil Handling </t>
  </si>
  <si>
    <t>4.5.3.7</t>
  </si>
  <si>
    <t xml:space="preserve">Valves Described By Taxonomy Code  Check Flare, Vent &amp; Blockdown </t>
  </si>
  <si>
    <t>4.5.3.8</t>
  </si>
  <si>
    <t>Valves Described By Taxonomy Code  Check Gas (re) Injection</t>
  </si>
  <si>
    <t>4.5.3.9</t>
  </si>
  <si>
    <t xml:space="preserve">Valves Described By Taxonomy Code  Check Gas Export </t>
  </si>
  <si>
    <t>4.5.3.10</t>
  </si>
  <si>
    <t>Valves Described By Taxonomy Code  Check Gas Lift</t>
  </si>
  <si>
    <t>4.5.3.11</t>
  </si>
  <si>
    <t>Valves Described By Taxonomy Code  Check Gas Processing</t>
  </si>
  <si>
    <t>4.5.3.12</t>
  </si>
  <si>
    <t>Valves Described By Taxonomy Code  Check Gas Production</t>
  </si>
  <si>
    <t>4.5.3.13</t>
  </si>
  <si>
    <t xml:space="preserve">Valves Described By Taxonomy Code  Check Gas  Treatment </t>
  </si>
  <si>
    <t>4.5.3.14</t>
  </si>
  <si>
    <t xml:space="preserve">Valves Described By Taxonomy Code  Check Heating Medium </t>
  </si>
  <si>
    <t>4.5.3.15</t>
  </si>
  <si>
    <t xml:space="preserve">Valves Described By Taxonomy Code  Check Oil Export </t>
  </si>
  <si>
    <t>4.5.3.16</t>
  </si>
  <si>
    <t>Valves Described By Taxonomy Code  Check Oil Processing</t>
  </si>
  <si>
    <t>4.5.3.17</t>
  </si>
  <si>
    <t>Valves Described By Taxonomy Code  Check Oil Production</t>
  </si>
  <si>
    <t>4.5.3.18</t>
  </si>
  <si>
    <t>Valves Described By Taxonomy Code  Check Oily Water Treatment</t>
  </si>
  <si>
    <t>4.5.3.19</t>
  </si>
  <si>
    <t>Valves Described By Taxonomy Code  Check Sea Water Lift</t>
  </si>
  <si>
    <t>4.5.3.20</t>
  </si>
  <si>
    <t xml:space="preserve">Valves Described By Taxonomy Code  Check Unknown </t>
  </si>
  <si>
    <t>4.5.3.21</t>
  </si>
  <si>
    <t>Valves Described By Taxonomy Code  Check Water Fire Fighting</t>
  </si>
  <si>
    <t>4.5.3.22</t>
  </si>
  <si>
    <t>Valves Described By Taxonomy Code  Check Water Injection</t>
  </si>
  <si>
    <t>4.5.3.23</t>
  </si>
  <si>
    <t>Valves Described By Taxonomy Code  Check Well Servicing</t>
  </si>
  <si>
    <t>4.5.4</t>
  </si>
  <si>
    <t>Valves Described By Taxonomy Code Diaphragm</t>
  </si>
  <si>
    <t>4.5.4.1</t>
  </si>
  <si>
    <t>Valves Described By Taxonomy Code Diaphragm Water Fire Fighting</t>
  </si>
  <si>
    <t>4.5.5</t>
  </si>
  <si>
    <t>Valves Described By Taxonomy Code Gate</t>
  </si>
  <si>
    <t>4.5.5.1</t>
  </si>
  <si>
    <t xml:space="preserve">Valves Described By Taxonomy Code Gate Crude oil Handling </t>
  </si>
  <si>
    <t>4.5.5.2</t>
  </si>
  <si>
    <t xml:space="preserve">Valves Described By Taxonomy Code Gate Flare,Vent &amp; Blow- down </t>
  </si>
  <si>
    <t>4.5.5.3</t>
  </si>
  <si>
    <t>Valves Described By Taxonomy Code Gate Gas (Re) Injection</t>
  </si>
  <si>
    <t>4.5.5.4</t>
  </si>
  <si>
    <t xml:space="preserve">Valves Described By Taxonomy Code Gate Gas Export </t>
  </si>
  <si>
    <t>4.5.5.5</t>
  </si>
  <si>
    <t>Valves Described By Taxonomy Code Gate Gas Processing</t>
  </si>
  <si>
    <t>4.5.5.6</t>
  </si>
  <si>
    <t>Valves Described By Taxonomy Code Gate Gas Production</t>
  </si>
  <si>
    <t>4.5.5.7</t>
  </si>
  <si>
    <t>Valves Described By Taxonomy Code Gate Heating Medium</t>
  </si>
  <si>
    <t>4.5.5.8</t>
  </si>
  <si>
    <t xml:space="preserve">Valves Described By Taxonomy Code Gate Oil Export </t>
  </si>
  <si>
    <t>4.5.5.9</t>
  </si>
  <si>
    <t>Valves Described By Taxonomy Code Gate Oil Processing</t>
  </si>
  <si>
    <t>4.5.5.10</t>
  </si>
  <si>
    <t>Valves Described By Taxonomy Code Gate Oily water Treatment</t>
  </si>
  <si>
    <t>4.5.5.11</t>
  </si>
  <si>
    <t>Valves Described By Taxonomy Code Gate Water Fire Fighting</t>
  </si>
  <si>
    <t>4.5.5.12</t>
  </si>
  <si>
    <t>Valves Described By Taxonomy Code Gate Water Injection</t>
  </si>
  <si>
    <t>4.5.6</t>
  </si>
  <si>
    <t>Valves Described By Taxonomy Code Globe</t>
  </si>
  <si>
    <t>4.5.6.1</t>
  </si>
  <si>
    <t>Valves Described By Taxonomy Code Globe Chemical Injection</t>
  </si>
  <si>
    <t>4.5.6.2</t>
  </si>
  <si>
    <t>Valves Described By Taxonomy Code Globe Gas (Re) Injection</t>
  </si>
  <si>
    <t>4.5.6.3</t>
  </si>
  <si>
    <t>Valves Described By Taxonomy Code Globe Gas Processing</t>
  </si>
  <si>
    <t>4.5.6.4</t>
  </si>
  <si>
    <t>Valves Described By Taxonomy Code Globe Gas  Treatment</t>
  </si>
  <si>
    <t>4.5.6.5</t>
  </si>
  <si>
    <t xml:space="preserve">Valves Described By Taxonomy Code Globe Oil Export </t>
  </si>
  <si>
    <t>4.5.6.6</t>
  </si>
  <si>
    <t>Valves Described By Taxonomy Code Globe Oil Processing</t>
  </si>
  <si>
    <t>4.5.6.7</t>
  </si>
  <si>
    <t>Valves Described By Taxonomy Code Globe Oily Water Treatment</t>
  </si>
  <si>
    <t>4.5.7</t>
  </si>
  <si>
    <t>Valves Described By Taxonomy Code Multiple Orifice</t>
  </si>
  <si>
    <t>4.5.7.1</t>
  </si>
  <si>
    <t xml:space="preserve">Valves Described By Taxonomy Code Multiple Orifice  Flare,Vent &amp; Blow- down </t>
  </si>
  <si>
    <t>4.5.8</t>
  </si>
  <si>
    <t>Valves Described By Taxonomy Code Plug</t>
  </si>
  <si>
    <t>4.5.8.1</t>
  </si>
  <si>
    <t>Valves Described By Taxonomy Code Plug  Oil Production</t>
  </si>
  <si>
    <t>4.5.9</t>
  </si>
  <si>
    <t>Valves Described By Taxonomy Code PSV - Conventional</t>
  </si>
  <si>
    <t>4.5.9.1</t>
  </si>
  <si>
    <t>Valves Described By Taxonomy Code PSV - Conventional Crude Oil Handling</t>
  </si>
  <si>
    <t>4.5.9.2</t>
  </si>
  <si>
    <t>Valves Described By Taxonomy Code PSV - Conventional Electrical Power</t>
  </si>
  <si>
    <t>4.5.9.3</t>
  </si>
  <si>
    <t>Valves Described By Taxonomy Code PSV - Conventional  Fuel Gas</t>
  </si>
  <si>
    <t>4.5.9.4</t>
  </si>
  <si>
    <t xml:space="preserve">Valves Described By Taxonomy Code PSV - Conventional Gas Export </t>
  </si>
  <si>
    <t>4.5.9.5</t>
  </si>
  <si>
    <t>Valves Described By Taxonomy Code PSV - Conventional Gas Processing</t>
  </si>
  <si>
    <t>4.5.9.6</t>
  </si>
  <si>
    <t>Valves Described By Taxonomy Code PSV - Conventional Oil Export</t>
  </si>
  <si>
    <t>4.5.9.7</t>
  </si>
  <si>
    <t>Valves Described By Taxonomy Code PSV - Conventional Oil Production</t>
  </si>
  <si>
    <t>4.5.9.8</t>
  </si>
  <si>
    <t>Valves Described By Taxonomy Code PSV - Conventional Oily Water Treatment</t>
  </si>
  <si>
    <t>4.5.9.9</t>
  </si>
  <si>
    <t xml:space="preserve">Valves Described By Taxonomy Code PSV - Conventional Steam </t>
  </si>
  <si>
    <t>4.5.10</t>
  </si>
  <si>
    <t xml:space="preserve">Valves Described By Taxonomy Code PSV - Conventional W/ Bellows </t>
  </si>
  <si>
    <t>4.5.10.1</t>
  </si>
  <si>
    <t>Valves Described By Taxonomy Code PSV - Conventional W/ Bellows Cooling Systems</t>
  </si>
  <si>
    <t>4.5.10.2</t>
  </si>
  <si>
    <t>Valves Described By Taxonomy Code PSV - Conventional W/ Bellows Crude Oil Handling</t>
  </si>
  <si>
    <t>4.5.10.3</t>
  </si>
  <si>
    <t>Valves Described By Taxonomy Code PSV - Conventional W/ Bellows Gas Processing</t>
  </si>
  <si>
    <t>4.5.10.4</t>
  </si>
  <si>
    <t>Valves Described By Taxonomy Code PSV - Conventional W/ Bellows Gas Treatment</t>
  </si>
  <si>
    <t>4.5.10.5</t>
  </si>
  <si>
    <t>Valves Described By Taxonomy Code PSV - Conventional W/ Bellows Oil Processing</t>
  </si>
  <si>
    <t>4.5.10.6</t>
  </si>
  <si>
    <t>Valves Described By Taxonomy Code PSV - Conventional W/ Bellows Oil Production</t>
  </si>
  <si>
    <t>4.5.10.7</t>
  </si>
  <si>
    <t>Valves Described By Taxonomy Code PSV - Conventional W/ Bellows Oily Water Treatment</t>
  </si>
  <si>
    <t>4.5.11</t>
  </si>
  <si>
    <t>Valves Described By Taxonomy Code PSV - Pilot Operated</t>
  </si>
  <si>
    <t>4.5.11.1</t>
  </si>
  <si>
    <t>Valves Described By Taxonomy Code PSV - Pilot Operated Fuel Gas</t>
  </si>
  <si>
    <t>4.5.11.2</t>
  </si>
  <si>
    <t>Valves Described By Taxonomy Code PSV - Pilot Operated  Gas (Re) Injection</t>
  </si>
  <si>
    <t>4.5.11.3</t>
  </si>
  <si>
    <t>Valves Described By Taxonomy Code PSV - Pilot Operated  Gas Export</t>
  </si>
  <si>
    <t>4.5.11.4</t>
  </si>
  <si>
    <t>Valves Described By Taxonomy Code PSV - Pilot Operated  Gas Lift</t>
  </si>
  <si>
    <t>4.5.11.5</t>
  </si>
  <si>
    <t>Valves Described By Taxonomy Code PSV - Pilot Operated  Gas Processing</t>
  </si>
  <si>
    <t>4.5.11.6</t>
  </si>
  <si>
    <t>Valves Described By Taxonomy Code PSV - Pilot Operated Oil Export</t>
  </si>
  <si>
    <t>4.5.11.7</t>
  </si>
  <si>
    <t>Valves Described By Taxonomy Code PSV - Pilot Operated Oil Processing</t>
  </si>
  <si>
    <t>4.5.11.8</t>
  </si>
  <si>
    <t>Valves Described By Taxonomy Code PSV - Pilot Operated Oil Production</t>
  </si>
  <si>
    <t>4.5.11.9</t>
  </si>
  <si>
    <t>Valves Described By Taxonomy Code PSV - Pilot Operated Fire Fighting</t>
  </si>
  <si>
    <t>4.5.12</t>
  </si>
  <si>
    <t xml:space="preserve">Valves Described By Taxonomy Code Unknown </t>
  </si>
  <si>
    <t>4.5.12.1</t>
  </si>
  <si>
    <t>Valves Described By Taxonomy Code Unknown  Chemical Injection</t>
  </si>
  <si>
    <t>4.5.12.2</t>
  </si>
  <si>
    <t>Valves Described By Taxonomy Code Unknown Gas Production</t>
  </si>
  <si>
    <t>4.5.12.3</t>
  </si>
  <si>
    <t xml:space="preserve">Valves Described By Taxonomy Code Unknown Unknown </t>
  </si>
  <si>
    <t>4.5.12.4</t>
  </si>
  <si>
    <t>Valves Described By Taxonomy Code Unknown Water Fire Fighting</t>
  </si>
  <si>
    <t>Motor</t>
  </si>
  <si>
    <t>Sistema de Control de la Planta</t>
  </si>
  <si>
    <t>IEEE-493:2007</t>
  </si>
  <si>
    <t>Turbine</t>
  </si>
  <si>
    <t>1.2.2.2</t>
  </si>
  <si>
    <t>Compressor Centrifugal-Turbine</t>
  </si>
  <si>
    <t>Air Dryer</t>
  </si>
  <si>
    <t>H4-000</t>
  </si>
  <si>
    <t>Confiabilidad</t>
  </si>
  <si>
    <t>Comments</t>
  </si>
  <si>
    <t>Repair [hours] - Calendar</t>
  </si>
  <si>
    <t>A</t>
  </si>
  <si>
    <t>EMS Doc Code:</t>
  </si>
  <si>
    <t>Sistema Fire &amp; Gas (Detectores y Computador)</t>
  </si>
  <si>
    <t>Population</t>
  </si>
  <si>
    <t>Calendar Time</t>
  </si>
  <si>
    <t>Operational Time</t>
  </si>
  <si>
    <t xml:space="preserve">No of Failures </t>
  </si>
  <si>
    <t>Time to Repair (TTR)</t>
  </si>
  <si>
    <r>
      <t xml:space="preserve">Failure Rate </t>
    </r>
    <r>
      <rPr>
        <b/>
        <sz val="16"/>
        <color theme="1"/>
        <rFont val="Symbol"/>
        <family val="1"/>
        <charset val="2"/>
      </rPr>
      <t>l</t>
    </r>
    <r>
      <rPr>
        <b/>
        <sz val="11"/>
        <color theme="1"/>
        <rFont val="Calibri"/>
        <family val="2"/>
        <scheme val="minor"/>
      </rPr>
      <t xml:space="preserve"> per Million Hours</t>
    </r>
  </si>
  <si>
    <t>Time to Failure (TTF) Probability Density Distribution</t>
  </si>
  <si>
    <t>Time to Repair (TTR) Probability Density Distribution</t>
  </si>
  <si>
    <t>XV-110XX</t>
  </si>
  <si>
    <r>
      <rPr>
        <b/>
        <sz val="11"/>
        <color theme="1"/>
        <rFont val="Arial"/>
        <family val="2"/>
      </rPr>
      <t>ANALISIS COSTO-RIESGO-BENEFICIO PLANES DE INSPECCIÓN ECI-1
BLOQUES DE CONFIABILIDAD, DISPONIBILIDAD Y MANTENIBILIDAD (RAM)</t>
    </r>
    <r>
      <rPr>
        <b/>
        <sz val="12"/>
        <color theme="1"/>
        <rFont val="Arial"/>
        <family val="2"/>
      </rPr>
      <t xml:space="preserve">
BLOCKS DATA SHEETS</t>
    </r>
  </si>
  <si>
    <t>ACRB</t>
  </si>
  <si>
    <t>21008-ASM-AS-AM-RPT-002</t>
  </si>
  <si>
    <t>21008-ASM-AS-AM</t>
  </si>
  <si>
    <t>Análisis RAM de la ECI-1</t>
  </si>
  <si>
    <t>9 Vávulas Shutoff</t>
  </si>
  <si>
    <t>F&amp;G</t>
  </si>
  <si>
    <t>CO-1160A/B</t>
  </si>
  <si>
    <t>CO-1160A/B (M)</t>
  </si>
  <si>
    <t>SA-1160A/B</t>
  </si>
  <si>
    <t>T-1161A/B</t>
  </si>
  <si>
    <t>ESDV-11XXX</t>
  </si>
  <si>
    <t>BDV-11XXX</t>
  </si>
  <si>
    <t>T-1195</t>
  </si>
  <si>
    <t>PK(F)-1170</t>
  </si>
  <si>
    <t>GE-1171A/B/C</t>
  </si>
  <si>
    <t>12 Microturbinas (4 por bahia)</t>
  </si>
  <si>
    <t>MG-Emergencia</t>
  </si>
  <si>
    <t>2 Compresor de Aire</t>
  </si>
  <si>
    <t>2 Motor del compresor de aire</t>
  </si>
  <si>
    <t>2 Secadora de Aire</t>
  </si>
  <si>
    <t>2 Tanque Acumulador de Aire de Instrumentos</t>
  </si>
  <si>
    <t>3 Filtro Gas Combustible</t>
  </si>
  <si>
    <t>1 Tanque Acumulador de Gas de Instrumentos</t>
  </si>
  <si>
    <t>1 Generator Electrico Emergencia</t>
  </si>
  <si>
    <t>HV-110XX</t>
  </si>
  <si>
    <t>5 Hand Valves</t>
  </si>
  <si>
    <t>F-1101A/B/C</t>
  </si>
  <si>
    <t>3 Filtros Separadores Entrada</t>
  </si>
  <si>
    <t>LCV-110XX</t>
  </si>
  <si>
    <t>6 Valvula Control Nivel F-1101A/B/C</t>
  </si>
  <si>
    <t>Cabezal Entrada Filtros F-1101A/B/C</t>
  </si>
  <si>
    <t>Cabezal Salida Filtros F-1101A/B/C</t>
  </si>
  <si>
    <t>Head IN Filtros</t>
  </si>
  <si>
    <t>Head OUT Filtros</t>
  </si>
  <si>
    <t>Cabezal Salida liquidos Filtros F-1101A/B/C</t>
  </si>
  <si>
    <t>Head OUT F-Liq</t>
  </si>
  <si>
    <t>Head OUT TC</t>
  </si>
  <si>
    <t>Head IN TC</t>
  </si>
  <si>
    <t>Cabezal Entrada TC PK-1121A/B/C</t>
  </si>
  <si>
    <t>7 Blowdown Valve</t>
  </si>
  <si>
    <t>F-1140A/B/C</t>
  </si>
  <si>
    <t>SDV-11XXX</t>
  </si>
  <si>
    <t>10 Válvula de Cierre (Shutdown)</t>
  </si>
  <si>
    <t>1 Filtro Gas Combustible Microturbinas</t>
  </si>
  <si>
    <t>MT-1121A/B/C</t>
  </si>
  <si>
    <t>MC-1121A/B/C</t>
  </si>
  <si>
    <t>Compresor de gas</t>
  </si>
  <si>
    <t>Gas Turbine Titan 130</t>
  </si>
  <si>
    <t>PLC-TC-A/B/C</t>
  </si>
  <si>
    <t>9 ShutDown Valves TC</t>
  </si>
  <si>
    <t>Head IN Enfriador</t>
  </si>
  <si>
    <t>Head OUT Enfriador</t>
  </si>
  <si>
    <t>CO-1121A-H</t>
  </si>
  <si>
    <t>8 Bahias - 16 motores</t>
  </si>
  <si>
    <t>TTF and TTR Probability Density Functions Used in RAM Simulator Software (Raptor)</t>
  </si>
  <si>
    <t>API-581</t>
  </si>
  <si>
    <t>distribution, with error rates ranging from 3% to 10%. Median values are given in Table 3.1. The data presented</t>
  </si>
  <si>
    <t>in the Table 3.1 is based on the best available sources and experience to date from owner-users.</t>
  </si>
  <si>
    <t>The overall GFF for each component type was divided across the relevant hole sizes, i.e. the sum of the generic</t>
  </si>
  <si>
    <t>failure frequency for each hole size is equal to the total generic failure frequency for the component.</t>
  </si>
  <si>
    <t xml:space="preserve"> (part 2, Pag 4) The GFFs are assumed to follow a log-normal</t>
  </si>
  <si>
    <r>
      <t>Cabezal Salida TC PK-1121A/B/C (&gt;16"</t>
    </r>
    <r>
      <rPr>
        <sz val="11"/>
        <color theme="1"/>
        <rFont val="Symbol"/>
        <family val="1"/>
        <charset val="2"/>
      </rPr>
      <t>f</t>
    </r>
    <r>
      <rPr>
        <sz val="11"/>
        <color theme="1"/>
        <rFont val="Calibri"/>
        <family val="2"/>
        <scheme val="minor"/>
      </rPr>
      <t>)</t>
    </r>
  </si>
  <si>
    <r>
      <t>Cabezal Entrada TC PK-1121A/B/C  (&gt;16"</t>
    </r>
    <r>
      <rPr>
        <sz val="11"/>
        <color theme="1"/>
        <rFont val="Symbol"/>
        <family val="1"/>
        <charset val="2"/>
      </rPr>
      <t>f</t>
    </r>
    <r>
      <rPr>
        <sz val="11"/>
        <color theme="1"/>
        <rFont val="Calibri"/>
        <family val="2"/>
        <scheme val="minor"/>
      </rPr>
      <t>)</t>
    </r>
  </si>
  <si>
    <r>
      <t>Cabezal Salida TC PK-1121A/B/C  (&gt;16"</t>
    </r>
    <r>
      <rPr>
        <sz val="11"/>
        <color theme="1"/>
        <rFont val="Symbol"/>
        <family val="1"/>
        <charset val="2"/>
      </rPr>
      <t>f</t>
    </r>
    <r>
      <rPr>
        <sz val="11"/>
        <color theme="1"/>
        <rFont val="Calibri"/>
        <family val="2"/>
        <scheme val="minor"/>
      </rPr>
      <t>)</t>
    </r>
  </si>
  <si>
    <r>
      <t xml:space="preserve">Piping  &gt;16" </t>
    </r>
    <r>
      <rPr>
        <sz val="11"/>
        <color theme="1"/>
        <rFont val="Symbol"/>
        <family val="1"/>
        <charset val="2"/>
      </rPr>
      <t>f</t>
    </r>
  </si>
  <si>
    <r>
      <t xml:space="preserve">Piping  &gt;2" </t>
    </r>
    <r>
      <rPr>
        <sz val="11"/>
        <color theme="1"/>
        <rFont val="Symbol"/>
        <family val="1"/>
        <charset val="2"/>
      </rPr>
      <t>f</t>
    </r>
  </si>
  <si>
    <t>Pipe 2</t>
  </si>
  <si>
    <t>PipeGT16</t>
  </si>
  <si>
    <t>Fail/yr</t>
  </si>
  <si>
    <t>Failure/1Millon hr</t>
  </si>
  <si>
    <t>API 581 Table 3.1 (part 2, Pag 9, Pag 133/632 API-581-2016)</t>
  </si>
  <si>
    <t>ECI-1</t>
  </si>
  <si>
    <t>V2(2018-08-17).rbd/Thu_Oct_24_08:19:33_2021</t>
  </si>
  <si>
    <t>Transformador</t>
  </si>
  <si>
    <t>Centro Control Motores</t>
  </si>
  <si>
    <t>Transf</t>
  </si>
  <si>
    <t>CCM</t>
  </si>
  <si>
    <t>Transformadores Secos</t>
  </si>
  <si>
    <t>E18-122</t>
  </si>
  <si>
    <t>Diesel generator standby</t>
  </si>
  <si>
    <t>E38--112</t>
  </si>
  <si>
    <t>C4-300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</si>
</sst>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_-* #,##0.00\ _€_-;\-* #,##0.00\ _€_-;_-* &quot;-&quot;??\ _€_-;_-@_-"/>
    <numFmt numFmtId="165" formatCode="0.0000"/>
    <numFmt numFmtId="166" formatCode="0.0"/>
    <numFmt numFmtId="167" formatCode="#,##0.0000"/>
    <numFmt numFmtId="168" formatCode="#,##0.0"/>
    <numFmt numFmtId="169" formatCode="0.00000"/>
    <numFmt numFmtId="170" formatCode="0.000000"/>
    <numFmt numFmtId="171" formatCode="#,##0.0000000000"/>
    <numFmt numFmtId="172" formatCode="#,##0.000000000000"/>
    <numFmt numFmtId="173" formatCode="#,##0.00000000"/>
    <numFmt numFmtId="174" formatCode="#,##0.000000000"/>
    <numFmt numFmtId="175" formatCode="#,##0.00000000000"/>
    <numFmt numFmtId="176" formatCode="#,##0.0000000000000000"/>
    <numFmt numFmtId="177" formatCode="#,##0.0000000000000"/>
    <numFmt numFmtId="178" formatCode="0.000000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name val="Arial"/>
      <family val="2"/>
    </font>
    <font>
      <b/>
      <sz val="12"/>
      <color rgb="FF0000CC"/>
      <name val="Arial"/>
      <family val="2"/>
    </font>
    <font>
      <b/>
      <sz val="11"/>
      <color theme="1"/>
      <name val="Arial"/>
      <family val="2"/>
    </font>
    <font>
      <sz val="11"/>
      <color theme="1"/>
      <name val="Arial"/>
      <family val="2"/>
    </font>
    <font>
      <b/>
      <vertAlign val="superscript"/>
      <sz val="11"/>
      <color theme="1"/>
      <name val="Arial"/>
      <family val="2"/>
    </font>
    <font>
      <b/>
      <sz val="10"/>
      <color theme="1"/>
      <name val="Arial"/>
      <family val="2"/>
    </font>
    <font>
      <sz val="9"/>
      <color theme="1"/>
      <name val="Arial"/>
      <family val="2"/>
    </font>
    <font>
      <b/>
      <sz val="14"/>
      <color theme="1"/>
      <name val="Arial"/>
      <family val="2"/>
    </font>
    <font>
      <b/>
      <sz val="16"/>
      <color rgb="FF002060"/>
      <name val="Calibri"/>
      <family val="2"/>
      <scheme val="minor"/>
    </font>
    <font>
      <b/>
      <sz val="11"/>
      <color rgb="FF0000CC"/>
      <name val="Calibri"/>
      <family val="2"/>
      <scheme val="minor"/>
    </font>
    <font>
      <b/>
      <sz val="10"/>
      <name val="Arial"/>
      <family val="2"/>
    </font>
    <font>
      <b/>
      <sz val="8"/>
      <name val="Arial"/>
      <family val="2"/>
    </font>
    <font>
      <b/>
      <sz val="11"/>
      <color theme="8" tint="-0.499984740745262"/>
      <name val="Calibri"/>
      <family val="2"/>
      <scheme val="minor"/>
    </font>
    <font>
      <b/>
      <sz val="9"/>
      <color indexed="81"/>
      <name val="Tahoma"/>
      <family val="2"/>
    </font>
    <font>
      <sz val="9"/>
      <color indexed="81"/>
      <name val="Tahoma"/>
      <family val="2"/>
    </font>
    <font>
      <sz val="14"/>
      <name val="Arial"/>
      <family val="2"/>
    </font>
    <font>
      <sz val="12"/>
      <name val="Arial"/>
      <family val="2"/>
    </font>
    <font>
      <sz val="10"/>
      <name val="Symbol"/>
      <family val="1"/>
      <charset val="2"/>
    </font>
    <font>
      <sz val="8"/>
      <name val="Arial"/>
      <family val="2"/>
    </font>
    <font>
      <sz val="9"/>
      <name val="Arial"/>
      <family val="2"/>
    </font>
    <font>
      <sz val="10"/>
      <color theme="1"/>
      <name val="Arial"/>
      <family val="2"/>
    </font>
    <font>
      <sz val="8"/>
      <color theme="1"/>
      <name val="Arial"/>
      <family val="2"/>
    </font>
    <font>
      <b/>
      <sz val="9"/>
      <color theme="1"/>
      <name val="Arial"/>
      <family val="2"/>
    </font>
    <font>
      <b/>
      <sz val="12"/>
      <color theme="1"/>
      <name val="Arial"/>
      <family val="2"/>
    </font>
    <font>
      <b/>
      <sz val="8"/>
      <color rgb="FF0000CC"/>
      <name val="Calibri"/>
      <family val="2"/>
      <scheme val="minor"/>
    </font>
    <font>
      <sz val="11"/>
      <color theme="1"/>
      <name val="Calibri"/>
      <family val="2"/>
    </font>
    <font>
      <b/>
      <sz val="11"/>
      <color rgb="FFFF0000"/>
      <name val="Calibri"/>
      <family val="2"/>
      <scheme val="minor"/>
    </font>
    <font>
      <b/>
      <sz val="16"/>
      <color theme="1"/>
      <name val="Symbol"/>
      <family val="1"/>
      <charset val="2"/>
    </font>
    <font>
      <b/>
      <sz val="11"/>
      <color rgb="FFFF0000"/>
      <name val="Calibri"/>
      <family val="2"/>
    </font>
    <font>
      <b/>
      <sz val="11"/>
      <color rgb="FF0000CC"/>
      <name val="Arial"/>
      <family val="2"/>
    </font>
    <font>
      <sz val="11"/>
      <color theme="1"/>
      <name val="Symbol"/>
      <family val="1"/>
      <charset val="2"/>
    </font>
  </fonts>
  <fills count="4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FFFF00"/>
        <bgColor indexed="64"/>
      </patternFill>
    </fill>
    <fill>
      <patternFill patternType="solid">
        <fgColor theme="4" tint="0.59999389629810485"/>
        <bgColor indexed="64"/>
      </patternFill>
    </fill>
    <fill>
      <patternFill patternType="solid">
        <fgColor rgb="FFFFFF66"/>
        <bgColor indexed="64"/>
      </patternFill>
    </fill>
    <fill>
      <patternFill patternType="solid">
        <fgColor rgb="FF92D050"/>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5" tint="-0.249977111117893"/>
        <bgColor indexed="64"/>
      </patternFill>
    </fill>
    <fill>
      <patternFill patternType="solid">
        <fgColor rgb="FF00B050"/>
        <bgColor indexed="64"/>
      </patternFill>
    </fill>
    <fill>
      <patternFill patternType="solid">
        <fgColor rgb="FFCC00FF"/>
        <bgColor indexed="64"/>
      </patternFill>
    </fill>
    <fill>
      <patternFill patternType="solid">
        <fgColor theme="8" tint="0.59999389629810485"/>
        <bgColor indexed="64"/>
      </patternFill>
    </fill>
  </fills>
  <borders count="71">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diagonal/>
    </border>
    <border>
      <left/>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style="medium">
        <color indexed="64"/>
      </top>
      <bottom/>
      <diagonal/>
    </border>
    <border>
      <left style="thin">
        <color indexed="64"/>
      </left>
      <right/>
      <top style="medium">
        <color indexed="64"/>
      </top>
      <bottom/>
      <diagonal/>
    </border>
    <border>
      <left/>
      <right style="thin">
        <color indexed="64"/>
      </right>
      <top/>
      <bottom style="medium">
        <color indexed="64"/>
      </bottom>
      <diagonal/>
    </border>
    <border>
      <left style="thin">
        <color indexed="64"/>
      </left>
      <right/>
      <top/>
      <bottom style="medium">
        <color indexed="64"/>
      </bottom>
      <diagonal/>
    </border>
    <border>
      <left style="thin">
        <color indexed="64"/>
      </left>
      <right/>
      <top/>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0" fillId="0" borderId="0"/>
    <xf numFmtId="164" fontId="1" fillId="0" borderId="0" applyFont="0" applyFill="0" applyBorder="0" applyAlignment="0" applyProtection="0"/>
  </cellStyleXfs>
  <cellXfs count="427">
    <xf numFmtId="0" fontId="0" fillId="0" borderId="0" xfId="0"/>
    <xf numFmtId="0" fontId="0" fillId="33" borderId="12" xfId="0" applyNumberFormat="1" applyFill="1" applyBorder="1" applyAlignment="1">
      <alignment horizontal="center"/>
    </xf>
    <xf numFmtId="0" fontId="0" fillId="33" borderId="11" xfId="0" applyNumberFormat="1" applyFill="1" applyBorder="1" applyAlignment="1">
      <alignment horizontal="center"/>
    </xf>
    <xf numFmtId="0" fontId="0" fillId="0" borderId="0" xfId="0"/>
    <xf numFmtId="0" fontId="0" fillId="0" borderId="0" xfId="0" applyBorder="1"/>
    <xf numFmtId="165" fontId="0" fillId="33" borderId="12" xfId="0" applyNumberFormat="1" applyFill="1" applyBorder="1" applyAlignment="1">
      <alignment horizontal="center"/>
    </xf>
    <xf numFmtId="0" fontId="18" fillId="33" borderId="12" xfId="0" applyFont="1" applyFill="1" applyBorder="1" applyAlignment="1">
      <alignment horizontal="center" vertical="center"/>
    </xf>
    <xf numFmtId="0" fontId="0" fillId="33" borderId="12" xfId="0" applyFill="1" applyBorder="1" applyAlignment="1">
      <alignment horizontal="center"/>
    </xf>
    <xf numFmtId="165" fontId="0" fillId="33" borderId="11" xfId="0" applyNumberFormat="1" applyFill="1" applyBorder="1" applyAlignment="1">
      <alignment horizontal="center"/>
    </xf>
    <xf numFmtId="0" fontId="0" fillId="0" borderId="13" xfId="0" applyBorder="1" applyAlignment="1">
      <alignment horizontal="center"/>
    </xf>
    <xf numFmtId="166" fontId="0" fillId="0" borderId="11" xfId="0" applyNumberFormat="1" applyFill="1" applyBorder="1" applyAlignment="1">
      <alignment horizontal="center"/>
    </xf>
    <xf numFmtId="0" fontId="0" fillId="33" borderId="0" xfId="0" applyNumberFormat="1" applyFill="1"/>
    <xf numFmtId="0" fontId="0" fillId="33" borderId="17" xfId="0" applyFill="1" applyBorder="1" applyAlignment="1">
      <alignment horizontal="center" vertical="center"/>
    </xf>
    <xf numFmtId="0" fontId="0" fillId="33" borderId="17" xfId="0" applyFill="1" applyBorder="1" applyAlignment="1">
      <alignment horizontal="left" vertical="center"/>
    </xf>
    <xf numFmtId="0" fontId="0" fillId="0" borderId="0" xfId="0" applyBorder="1" applyAlignment="1">
      <alignment horizontal="center"/>
    </xf>
    <xf numFmtId="0" fontId="22" fillId="0" borderId="0" xfId="0" applyFont="1" applyBorder="1" applyAlignment="1">
      <alignment horizontal="center" vertical="center"/>
    </xf>
    <xf numFmtId="0" fontId="23" fillId="0" borderId="0" xfId="0" applyFont="1" applyFill="1" applyBorder="1" applyAlignment="1">
      <alignment horizontal="center" vertical="center"/>
    </xf>
    <xf numFmtId="0" fontId="23" fillId="0" borderId="0" xfId="0" applyFont="1" applyFill="1" applyBorder="1" applyAlignment="1">
      <alignment horizontal="center" vertical="center" wrapText="1"/>
    </xf>
    <xf numFmtId="0" fontId="25" fillId="0" borderId="40" xfId="0" applyFont="1" applyBorder="1" applyAlignment="1">
      <alignment horizontal="center" vertical="center"/>
    </xf>
    <xf numFmtId="0" fontId="25" fillId="0" borderId="50" xfId="0" applyFont="1" applyBorder="1" applyAlignment="1">
      <alignment horizontal="center" vertical="center"/>
    </xf>
    <xf numFmtId="0" fontId="22" fillId="0" borderId="0" xfId="0" applyFont="1" applyBorder="1" applyAlignment="1">
      <alignment horizontal="center" vertical="center" wrapText="1"/>
    </xf>
    <xf numFmtId="0" fontId="27" fillId="0" borderId="0" xfId="0" applyFont="1" applyBorder="1" applyAlignment="1">
      <alignment vertical="center"/>
    </xf>
    <xf numFmtId="0" fontId="27" fillId="0" borderId="33" xfId="0" applyFont="1" applyBorder="1" applyAlignment="1">
      <alignment vertical="center"/>
    </xf>
    <xf numFmtId="0" fontId="14" fillId="0" borderId="0" xfId="0" applyFont="1" applyBorder="1"/>
    <xf numFmtId="0" fontId="16" fillId="0" borderId="0" xfId="0" applyFont="1"/>
    <xf numFmtId="0" fontId="0" fillId="0" borderId="0" xfId="0" quotePrefix="1"/>
    <xf numFmtId="0" fontId="28" fillId="0" borderId="0" xfId="0" applyFont="1" applyFill="1"/>
    <xf numFmtId="0" fontId="0" fillId="35" borderId="0" xfId="0" applyFill="1"/>
    <xf numFmtId="0" fontId="0" fillId="0" borderId="0" xfId="0" applyAlignment="1"/>
    <xf numFmtId="0" fontId="19" fillId="36" borderId="40" xfId="0" applyFont="1" applyFill="1" applyBorder="1" applyAlignment="1">
      <alignment horizontal="center" vertical="center"/>
    </xf>
    <xf numFmtId="0" fontId="19" fillId="35" borderId="40" xfId="0" applyFont="1" applyFill="1" applyBorder="1" applyAlignment="1">
      <alignment horizontal="center" vertical="center"/>
    </xf>
    <xf numFmtId="0" fontId="19" fillId="37" borderId="40" xfId="0" applyFont="1" applyFill="1" applyBorder="1" applyAlignment="1">
      <alignment horizontal="center" vertical="center"/>
    </xf>
    <xf numFmtId="0" fontId="19" fillId="36" borderId="55" xfId="0" applyFont="1" applyFill="1" applyBorder="1" applyAlignment="1">
      <alignment horizontal="center" vertical="center"/>
    </xf>
    <xf numFmtId="0" fontId="19" fillId="36" borderId="43" xfId="0" applyFont="1" applyFill="1" applyBorder="1" applyAlignment="1">
      <alignment horizontal="center" vertical="center"/>
    </xf>
    <xf numFmtId="0" fontId="30" fillId="36" borderId="43" xfId="42" applyFont="1" applyFill="1" applyBorder="1" applyAlignment="1">
      <alignment horizontal="center" vertical="center"/>
    </xf>
    <xf numFmtId="0" fontId="19" fillId="36" borderId="51" xfId="0" applyFont="1" applyFill="1" applyBorder="1" applyAlignment="1">
      <alignment horizontal="center" vertical="center"/>
    </xf>
    <xf numFmtId="0" fontId="32" fillId="0" borderId="56" xfId="0" applyFont="1" applyFill="1" applyBorder="1" applyAlignment="1">
      <alignment horizontal="center" vertical="center"/>
    </xf>
    <xf numFmtId="0" fontId="18" fillId="0" borderId="34" xfId="0" applyFont="1" applyFill="1" applyBorder="1" applyAlignment="1">
      <alignment horizontal="left" vertical="center"/>
    </xf>
    <xf numFmtId="0" fontId="0" fillId="0" borderId="57" xfId="0" applyFill="1" applyBorder="1" applyAlignment="1">
      <alignment horizontal="left" vertical="center"/>
    </xf>
    <xf numFmtId="166" fontId="0" fillId="0" borderId="56" xfId="0" applyNumberFormat="1" applyFill="1" applyBorder="1"/>
    <xf numFmtId="166" fontId="0" fillId="0" borderId="34" xfId="0" applyNumberFormat="1" applyFill="1" applyBorder="1"/>
    <xf numFmtId="165" fontId="0" fillId="35" borderId="34" xfId="0" applyNumberFormat="1" applyFill="1" applyBorder="1"/>
    <xf numFmtId="165" fontId="0" fillId="37" borderId="34" xfId="0" applyNumberFormat="1" applyFill="1" applyBorder="1"/>
    <xf numFmtId="166" fontId="0" fillId="37" borderId="34" xfId="0" applyNumberFormat="1" applyFill="1" applyBorder="1"/>
    <xf numFmtId="166" fontId="0" fillId="37" borderId="58" xfId="0" applyNumberFormat="1" applyFill="1" applyBorder="1"/>
    <xf numFmtId="165" fontId="0" fillId="0" borderId="39" xfId="0" applyNumberFormat="1" applyBorder="1"/>
    <xf numFmtId="0" fontId="0" fillId="0" borderId="34" xfId="0" applyBorder="1" applyAlignment="1">
      <alignment horizontal="right"/>
    </xf>
    <xf numFmtId="165" fontId="0" fillId="0" borderId="34" xfId="0" applyNumberFormat="1" applyBorder="1"/>
    <xf numFmtId="165" fontId="0" fillId="0" borderId="57" xfId="0" applyNumberFormat="1" applyBorder="1"/>
    <xf numFmtId="0" fontId="32" fillId="0" borderId="39" xfId="0" applyFont="1" applyFill="1" applyBorder="1" applyAlignment="1">
      <alignment horizontal="center" vertical="center"/>
    </xf>
    <xf numFmtId="0" fontId="18" fillId="0" borderId="40" xfId="0" applyFont="1" applyFill="1" applyBorder="1" applyAlignment="1">
      <alignment horizontal="left" vertical="center"/>
    </xf>
    <xf numFmtId="0" fontId="18" fillId="0" borderId="50" xfId="0" applyFont="1" applyFill="1" applyBorder="1" applyAlignment="1">
      <alignment horizontal="left" vertical="center"/>
    </xf>
    <xf numFmtId="0" fontId="0" fillId="0" borderId="40" xfId="0" applyBorder="1" applyAlignment="1">
      <alignment horizontal="right"/>
    </xf>
    <xf numFmtId="165" fontId="0" fillId="0" borderId="40" xfId="0" applyNumberFormat="1" applyBorder="1"/>
    <xf numFmtId="165" fontId="0" fillId="0" borderId="50" xfId="0" applyNumberFormat="1" applyBorder="1"/>
    <xf numFmtId="0" fontId="0" fillId="0" borderId="50" xfId="0" applyFont="1" applyFill="1" applyBorder="1" applyAlignment="1">
      <alignment horizontal="left" vertical="center"/>
    </xf>
    <xf numFmtId="0" fontId="0" fillId="0" borderId="50" xfId="0" applyFill="1" applyBorder="1" applyAlignment="1">
      <alignment horizontal="left" vertical="center"/>
    </xf>
    <xf numFmtId="165" fontId="0" fillId="38" borderId="34" xfId="0" applyNumberFormat="1" applyFill="1" applyBorder="1"/>
    <xf numFmtId="0" fontId="32" fillId="0" borderId="50" xfId="0" applyFont="1" applyFill="1" applyBorder="1" applyAlignment="1">
      <alignment horizontal="left" vertical="center"/>
    </xf>
    <xf numFmtId="0" fontId="0" fillId="0" borderId="40" xfId="0" applyFill="1" applyBorder="1" applyAlignment="1">
      <alignment horizontal="left"/>
    </xf>
    <xf numFmtId="0" fontId="0" fillId="0" borderId="50" xfId="0" applyFill="1" applyBorder="1"/>
    <xf numFmtId="166" fontId="0" fillId="33" borderId="34" xfId="0" applyNumberFormat="1" applyFill="1" applyBorder="1"/>
    <xf numFmtId="0" fontId="18" fillId="0" borderId="40" xfId="0" applyFont="1" applyFill="1" applyBorder="1" applyAlignment="1">
      <alignment horizontal="left"/>
    </xf>
    <xf numFmtId="0" fontId="0" fillId="0" borderId="0" xfId="0" applyFont="1"/>
    <xf numFmtId="0" fontId="0" fillId="0" borderId="50" xfId="0" applyFill="1" applyBorder="1" applyAlignment="1">
      <alignment horizontal="left"/>
    </xf>
    <xf numFmtId="0" fontId="16" fillId="0" borderId="0" xfId="0" applyFont="1" applyBorder="1"/>
    <xf numFmtId="2" fontId="0" fillId="0" borderId="0" xfId="0" applyNumberFormat="1"/>
    <xf numFmtId="2" fontId="0" fillId="0" borderId="56" xfId="0" applyNumberFormat="1" applyBorder="1"/>
    <xf numFmtId="2" fontId="0" fillId="0" borderId="34" xfId="0" applyNumberFormat="1" applyBorder="1"/>
    <xf numFmtId="2" fontId="0" fillId="37" borderId="34" xfId="0" applyNumberFormat="1" applyFill="1" applyBorder="1"/>
    <xf numFmtId="2" fontId="0" fillId="37" borderId="58" xfId="0" applyNumberFormat="1" applyFill="1" applyBorder="1"/>
    <xf numFmtId="165" fontId="0" fillId="0" borderId="56" xfId="0" applyNumberFormat="1" applyBorder="1"/>
    <xf numFmtId="0" fontId="0" fillId="0" borderId="40" xfId="0" applyFill="1" applyBorder="1"/>
    <xf numFmtId="0" fontId="0" fillId="0" borderId="0" xfId="0" applyAlignment="1">
      <alignment horizontal="right"/>
    </xf>
    <xf numFmtId="0" fontId="0" fillId="33" borderId="40" xfId="0" applyFill="1" applyBorder="1" applyAlignment="1">
      <alignment horizontal="center" vertical="center"/>
    </xf>
    <xf numFmtId="0" fontId="35" fillId="0" borderId="0" xfId="42" applyFont="1" applyBorder="1" applyAlignment="1">
      <alignment horizontal="centerContinuous" vertical="top"/>
    </xf>
    <xf numFmtId="0" fontId="20" fillId="0" borderId="0" xfId="42" applyFont="1" applyBorder="1" applyAlignment="1">
      <alignment vertical="top"/>
    </xf>
    <xf numFmtId="0" fontId="35" fillId="0" borderId="0" xfId="42" applyFont="1" applyBorder="1" applyAlignment="1">
      <alignment vertical="top"/>
    </xf>
    <xf numFmtId="0" fontId="35" fillId="0" borderId="0" xfId="42" applyFont="1" applyBorder="1" applyAlignment="1">
      <alignment horizontal="center" vertical="top"/>
    </xf>
    <xf numFmtId="0" fontId="20" fillId="0" borderId="0" xfId="42" applyFont="1" applyBorder="1" applyAlignment="1">
      <alignment horizontal="right" vertical="top"/>
    </xf>
    <xf numFmtId="0" fontId="20" fillId="0" borderId="34" xfId="42" applyFont="1" applyBorder="1" applyAlignment="1">
      <alignment horizontal="left" vertical="top" wrapText="1"/>
    </xf>
    <xf numFmtId="165" fontId="20" fillId="0" borderId="34" xfId="42" applyNumberFormat="1" applyFont="1" applyBorder="1" applyAlignment="1">
      <alignment horizontal="right" vertical="top" wrapText="1"/>
    </xf>
    <xf numFmtId="165" fontId="20" fillId="34" borderId="34" xfId="42" applyNumberFormat="1" applyFont="1" applyFill="1" applyBorder="1" applyAlignment="1">
      <alignment horizontal="right" vertical="top" wrapText="1"/>
    </xf>
    <xf numFmtId="165" fontId="20" fillId="0" borderId="34" xfId="42" applyNumberFormat="1" applyFont="1" applyFill="1" applyBorder="1" applyAlignment="1">
      <alignment horizontal="right" vertical="top" wrapText="1"/>
    </xf>
    <xf numFmtId="0" fontId="20" fillId="0" borderId="40" xfId="42" applyFont="1" applyBorder="1" applyAlignment="1">
      <alignment horizontal="center" vertical="top"/>
    </xf>
    <xf numFmtId="0" fontId="20" fillId="0" borderId="0" xfId="42" applyFont="1" applyBorder="1"/>
    <xf numFmtId="0" fontId="20" fillId="0" borderId="40" xfId="42" applyFont="1" applyBorder="1"/>
    <xf numFmtId="11" fontId="39" fillId="0" borderId="40" xfId="42" applyNumberFormat="1" applyFont="1" applyBorder="1"/>
    <xf numFmtId="11" fontId="39" fillId="34" borderId="40" xfId="42" applyNumberFormat="1" applyFont="1" applyFill="1" applyBorder="1"/>
    <xf numFmtId="165" fontId="20" fillId="0" borderId="40" xfId="42" applyNumberFormat="1" applyFont="1" applyBorder="1"/>
    <xf numFmtId="165" fontId="20" fillId="34" borderId="40" xfId="42" applyNumberFormat="1" applyFont="1" applyFill="1" applyBorder="1"/>
    <xf numFmtId="0" fontId="20" fillId="0" borderId="40" xfId="42" applyFont="1" applyBorder="1" applyAlignment="1">
      <alignment horizontal="center"/>
    </xf>
    <xf numFmtId="165" fontId="20" fillId="0" borderId="0" xfId="42" applyNumberFormat="1" applyFont="1" applyBorder="1"/>
    <xf numFmtId="165" fontId="20" fillId="0" borderId="0" xfId="42" applyNumberFormat="1" applyFont="1" applyFill="1" applyBorder="1"/>
    <xf numFmtId="0" fontId="20" fillId="0" borderId="0" xfId="42" applyFont="1" applyBorder="1" applyAlignment="1">
      <alignment horizontal="center"/>
    </xf>
    <xf numFmtId="0" fontId="0" fillId="0" borderId="12" xfId="0" applyFill="1" applyBorder="1" applyAlignment="1">
      <alignment horizontal="center"/>
    </xf>
    <xf numFmtId="0" fontId="16" fillId="0" borderId="40" xfId="0" applyFont="1" applyFill="1" applyBorder="1" applyAlignment="1">
      <alignment horizontal="left"/>
    </xf>
    <xf numFmtId="0" fontId="16" fillId="0" borderId="50" xfId="0" applyFont="1" applyFill="1" applyBorder="1"/>
    <xf numFmtId="166" fontId="16" fillId="0" borderId="56" xfId="0" applyNumberFormat="1" applyFont="1" applyFill="1" applyBorder="1"/>
    <xf numFmtId="166" fontId="16" fillId="0" borderId="34" xfId="0" applyNumberFormat="1" applyFont="1" applyFill="1" applyBorder="1"/>
    <xf numFmtId="165" fontId="16" fillId="35" borderId="34" xfId="0" applyNumberFormat="1" applyFont="1" applyFill="1" applyBorder="1"/>
    <xf numFmtId="165" fontId="16" fillId="37" borderId="34" xfId="0" applyNumberFormat="1" applyFont="1" applyFill="1" applyBorder="1"/>
    <xf numFmtId="166" fontId="16" fillId="37" borderId="34" xfId="0" applyNumberFormat="1" applyFont="1" applyFill="1" applyBorder="1"/>
    <xf numFmtId="166" fontId="16" fillId="37" borderId="58" xfId="0" applyNumberFormat="1" applyFont="1" applyFill="1" applyBorder="1"/>
    <xf numFmtId="165" fontId="16" fillId="0" borderId="39" xfId="0" applyNumberFormat="1" applyFont="1" applyBorder="1"/>
    <xf numFmtId="0" fontId="16" fillId="0" borderId="40" xfId="0" applyFont="1" applyBorder="1" applyAlignment="1">
      <alignment horizontal="right"/>
    </xf>
    <xf numFmtId="165" fontId="16" fillId="0" borderId="40" xfId="0" applyNumberFormat="1" applyFont="1" applyBorder="1"/>
    <xf numFmtId="165" fontId="16" fillId="0" borderId="50" xfId="0" applyNumberFormat="1" applyFont="1" applyBorder="1"/>
    <xf numFmtId="0" fontId="0" fillId="41" borderId="50" xfId="0" applyFill="1" applyBorder="1"/>
    <xf numFmtId="0" fontId="0" fillId="35" borderId="50" xfId="0" applyFill="1" applyBorder="1"/>
    <xf numFmtId="0" fontId="18" fillId="33" borderId="34" xfId="0" applyFont="1" applyFill="1" applyBorder="1" applyAlignment="1">
      <alignment horizontal="left" vertical="center"/>
    </xf>
    <xf numFmtId="0" fontId="18" fillId="33" borderId="40" xfId="0" applyFont="1" applyFill="1" applyBorder="1" applyAlignment="1">
      <alignment horizontal="left" vertical="center"/>
    </xf>
    <xf numFmtId="0" fontId="0" fillId="33" borderId="40" xfId="0" applyFill="1" applyBorder="1" applyAlignment="1">
      <alignment horizontal="left" vertical="center"/>
    </xf>
    <xf numFmtId="0" fontId="16" fillId="33" borderId="40" xfId="0" applyFont="1" applyFill="1" applyBorder="1" applyAlignment="1">
      <alignment horizontal="left" vertical="center"/>
    </xf>
    <xf numFmtId="0" fontId="0" fillId="33" borderId="40" xfId="0" applyFont="1" applyFill="1" applyBorder="1" applyAlignment="1">
      <alignment horizontal="left" vertical="center"/>
    </xf>
    <xf numFmtId="0" fontId="0" fillId="33" borderId="20" xfId="0" applyFill="1" applyBorder="1" applyAlignment="1">
      <alignment horizontal="left"/>
    </xf>
    <xf numFmtId="166" fontId="0" fillId="33" borderId="56" xfId="0" applyNumberFormat="1" applyFill="1" applyBorder="1"/>
    <xf numFmtId="166" fontId="0" fillId="33" borderId="34" xfId="0" applyNumberFormat="1" applyFill="1" applyBorder="1"/>
    <xf numFmtId="0" fontId="0" fillId="39" borderId="0" xfId="0" applyFill="1"/>
    <xf numFmtId="0" fontId="19" fillId="39" borderId="40" xfId="0" applyFont="1" applyFill="1" applyBorder="1" applyAlignment="1">
      <alignment horizontal="center" vertical="center"/>
    </xf>
    <xf numFmtId="165" fontId="0" fillId="39" borderId="34" xfId="0" applyNumberFormat="1" applyFill="1" applyBorder="1"/>
    <xf numFmtId="165" fontId="16" fillId="39" borderId="34" xfId="0" applyNumberFormat="1" applyFont="1" applyFill="1" applyBorder="1"/>
    <xf numFmtId="0" fontId="0" fillId="40" borderId="12" xfId="0" applyFill="1" applyBorder="1" applyAlignment="1">
      <alignment horizontal="center"/>
    </xf>
    <xf numFmtId="165" fontId="0" fillId="40" borderId="11" xfId="0" applyNumberFormat="1" applyFill="1" applyBorder="1" applyAlignment="1">
      <alignment horizontal="center"/>
    </xf>
    <xf numFmtId="0" fontId="0" fillId="40" borderId="11" xfId="0" applyNumberFormat="1" applyFill="1" applyBorder="1" applyAlignment="1">
      <alignment horizontal="center"/>
    </xf>
    <xf numFmtId="0" fontId="0" fillId="40" borderId="12" xfId="0" applyNumberFormat="1" applyFill="1" applyBorder="1" applyAlignment="1">
      <alignment horizontal="center"/>
    </xf>
    <xf numFmtId="165" fontId="0" fillId="40" borderId="12" xfId="0" applyNumberFormat="1" applyFill="1" applyBorder="1" applyAlignment="1">
      <alignment horizontal="center"/>
    </xf>
    <xf numFmtId="0" fontId="23" fillId="0" borderId="0" xfId="0" applyFont="1" applyBorder="1" applyAlignment="1">
      <alignment horizontal="center" vertical="center"/>
    </xf>
    <xf numFmtId="0" fontId="0" fillId="0" borderId="11" xfId="0" applyFill="1" applyBorder="1" applyAlignment="1">
      <alignment horizontal="center"/>
    </xf>
    <xf numFmtId="0" fontId="0" fillId="0" borderId="11" xfId="0" applyNumberFormat="1" applyFill="1" applyBorder="1" applyAlignment="1">
      <alignment horizontal="center"/>
    </xf>
    <xf numFmtId="165" fontId="0" fillId="0" borderId="12" xfId="0" applyNumberFormat="1" applyFill="1" applyBorder="1" applyAlignment="1">
      <alignment horizontal="center"/>
    </xf>
    <xf numFmtId="0" fontId="0" fillId="0" borderId="12" xfId="0" applyNumberFormat="1" applyFill="1" applyBorder="1" applyAlignment="1">
      <alignment horizontal="center"/>
    </xf>
    <xf numFmtId="165" fontId="0" fillId="0" borderId="11" xfId="0" applyNumberFormat="1" applyFill="1" applyBorder="1" applyAlignment="1">
      <alignment horizontal="center"/>
    </xf>
    <xf numFmtId="0" fontId="44" fillId="0" borderId="0" xfId="0" applyFont="1" applyAlignment="1">
      <alignment horizontal="center"/>
    </xf>
    <xf numFmtId="165" fontId="0" fillId="0" borderId="0" xfId="0" applyNumberFormat="1"/>
    <xf numFmtId="0" fontId="21" fillId="0" borderId="28" xfId="0" applyFont="1" applyBorder="1" applyAlignment="1">
      <alignment vertical="center" wrapText="1"/>
    </xf>
    <xf numFmtId="0" fontId="27" fillId="0" borderId="52" xfId="0" applyFont="1" applyBorder="1" applyAlignment="1">
      <alignment vertical="center"/>
    </xf>
    <xf numFmtId="165" fontId="0" fillId="0" borderId="0" xfId="0" applyNumberFormat="1" applyFill="1"/>
    <xf numFmtId="0" fontId="0" fillId="0" borderId="0" xfId="0" applyAlignment="1">
      <alignment horizontal="center"/>
    </xf>
    <xf numFmtId="0" fontId="0" fillId="0" borderId="12" xfId="0" applyBorder="1" applyAlignment="1">
      <alignment horizontal="center"/>
    </xf>
    <xf numFmtId="0" fontId="0" fillId="34" borderId="11" xfId="0" applyNumberFormat="1" applyFill="1" applyBorder="1" applyAlignment="1">
      <alignment horizontal="center"/>
    </xf>
    <xf numFmtId="0" fontId="0" fillId="0" borderId="0" xfId="0"/>
    <xf numFmtId="0" fontId="0" fillId="0" borderId="0" xfId="0" applyNumberFormat="1"/>
    <xf numFmtId="0" fontId="0" fillId="0" borderId="0" xfId="0" applyFill="1"/>
    <xf numFmtId="0" fontId="0" fillId="0" borderId="0" xfId="0" quotePrefix="1"/>
    <xf numFmtId="168" fontId="40" fillId="0" borderId="43" xfId="0" applyNumberFormat="1" applyFont="1" applyBorder="1" applyAlignment="1">
      <alignment horizontal="center" vertical="center"/>
    </xf>
    <xf numFmtId="168" fontId="40" fillId="0" borderId="51" xfId="0" applyNumberFormat="1" applyFont="1" applyBorder="1" applyAlignment="1">
      <alignment horizontal="center" vertical="center"/>
    </xf>
    <xf numFmtId="0" fontId="16" fillId="36" borderId="20" xfId="0" applyFont="1" applyFill="1" applyBorder="1" applyAlignment="1">
      <alignment horizontal="center"/>
    </xf>
    <xf numFmtId="0" fontId="0" fillId="0" borderId="40" xfId="0" applyBorder="1" applyAlignment="1">
      <alignment horizontal="center"/>
    </xf>
    <xf numFmtId="0" fontId="0" fillId="33" borderId="40" xfId="0" applyFill="1" applyBorder="1" applyAlignment="1">
      <alignment horizontal="center"/>
    </xf>
    <xf numFmtId="4" fontId="0" fillId="33" borderId="12" xfId="0" applyNumberFormat="1" applyFill="1" applyBorder="1" applyAlignment="1">
      <alignment horizontal="center"/>
    </xf>
    <xf numFmtId="0" fontId="0" fillId="0" borderId="12" xfId="0" applyBorder="1" applyAlignment="1">
      <alignment horizontal="left"/>
    </xf>
    <xf numFmtId="0" fontId="0" fillId="33" borderId="23" xfId="0" applyFill="1" applyBorder="1" applyAlignment="1">
      <alignment horizontal="center"/>
    </xf>
    <xf numFmtId="0" fontId="18" fillId="0" borderId="12" xfId="0" applyFont="1" applyFill="1" applyBorder="1" applyAlignment="1">
      <alignment horizontal="center" vertical="center"/>
    </xf>
    <xf numFmtId="0" fontId="0" fillId="0" borderId="13" xfId="0" applyFill="1" applyBorder="1" applyAlignment="1">
      <alignment horizontal="center"/>
    </xf>
    <xf numFmtId="0" fontId="18" fillId="0" borderId="40" xfId="0" applyFont="1" applyFill="1" applyBorder="1" applyAlignment="1">
      <alignment horizontal="center" vertical="center"/>
    </xf>
    <xf numFmtId="0" fontId="0" fillId="0" borderId="40" xfId="0" applyFill="1" applyBorder="1" applyAlignment="1">
      <alignment horizontal="left" vertical="center"/>
    </xf>
    <xf numFmtId="0" fontId="0" fillId="0" borderId="40" xfId="0" applyNumberFormat="1" applyFill="1" applyBorder="1" applyAlignment="1">
      <alignment horizontal="center"/>
    </xf>
    <xf numFmtId="0" fontId="0" fillId="0" borderId="40" xfId="0" applyFill="1" applyBorder="1" applyAlignment="1">
      <alignment horizontal="center"/>
    </xf>
    <xf numFmtId="165" fontId="0" fillId="0" borderId="40" xfId="0" applyNumberFormat="1" applyFill="1" applyBorder="1" applyAlignment="1">
      <alignment horizontal="center"/>
    </xf>
    <xf numFmtId="4" fontId="0" fillId="0" borderId="40" xfId="0" applyNumberFormat="1" applyFill="1" applyBorder="1" applyAlignment="1">
      <alignment horizontal="right"/>
    </xf>
    <xf numFmtId="167" fontId="0" fillId="0" borderId="40" xfId="0" applyNumberFormat="1" applyFill="1" applyBorder="1" applyAlignment="1">
      <alignment horizontal="right"/>
    </xf>
    <xf numFmtId="165" fontId="0" fillId="0" borderId="40" xfId="0" applyNumberFormat="1" applyFill="1" applyBorder="1" applyAlignment="1">
      <alignment horizontal="right"/>
    </xf>
    <xf numFmtId="168" fontId="0" fillId="0" borderId="40" xfId="0" applyNumberFormat="1" applyFill="1" applyBorder="1" applyAlignment="1">
      <alignment horizontal="right"/>
    </xf>
    <xf numFmtId="0" fontId="0" fillId="0" borderId="40" xfId="0" applyFont="1" applyFill="1" applyBorder="1" applyAlignment="1">
      <alignment horizontal="left" vertical="center"/>
    </xf>
    <xf numFmtId="0" fontId="16" fillId="42" borderId="47" xfId="0" applyFont="1" applyFill="1" applyBorder="1" applyAlignment="1">
      <alignment horizontal="center"/>
    </xf>
    <xf numFmtId="0" fontId="0" fillId="42" borderId="69" xfId="0" applyFill="1" applyBorder="1" applyAlignment="1" applyProtection="1">
      <alignment horizontal="center"/>
      <protection locked="0"/>
    </xf>
    <xf numFmtId="0" fontId="19" fillId="42" borderId="69" xfId="0" applyFont="1" applyFill="1" applyBorder="1" applyAlignment="1" applyProtection="1">
      <alignment horizontal="center" vertical="center"/>
      <protection locked="0"/>
    </xf>
    <xf numFmtId="0" fontId="19" fillId="42" borderId="22" xfId="0" applyFont="1" applyFill="1" applyBorder="1" applyAlignment="1" applyProtection="1">
      <alignment horizontal="center" vertical="center"/>
      <protection locked="0"/>
    </xf>
    <xf numFmtId="0" fontId="19" fillId="42" borderId="69" xfId="0" applyNumberFormat="1" applyFont="1" applyFill="1" applyBorder="1" applyAlignment="1" applyProtection="1">
      <alignment horizontal="center" vertical="center"/>
      <protection locked="0"/>
    </xf>
    <xf numFmtId="0" fontId="19" fillId="42" borderId="14" xfId="0" applyFont="1" applyFill="1" applyBorder="1" applyAlignment="1" applyProtection="1">
      <alignment horizontal="center" vertical="center"/>
      <protection locked="0"/>
    </xf>
    <xf numFmtId="0" fontId="19" fillId="42" borderId="28" xfId="0" applyFont="1" applyFill="1" applyBorder="1" applyAlignment="1" applyProtection="1">
      <alignment horizontal="center" vertical="center"/>
      <protection locked="0"/>
    </xf>
    <xf numFmtId="0" fontId="18" fillId="0" borderId="11" xfId="0" applyFont="1" applyFill="1" applyBorder="1" applyAlignment="1">
      <alignment horizontal="center" vertical="center"/>
    </xf>
    <xf numFmtId="0" fontId="0" fillId="0" borderId="11" xfId="0" applyFill="1" applyBorder="1" applyAlignment="1">
      <alignment horizontal="left" vertical="center"/>
    </xf>
    <xf numFmtId="0" fontId="0" fillId="0" borderId="24" xfId="0" applyFill="1" applyBorder="1" applyAlignment="1">
      <alignment horizontal="center" vertical="center"/>
    </xf>
    <xf numFmtId="3" fontId="0" fillId="34" borderId="11" xfId="0" applyNumberFormat="1" applyFill="1" applyBorder="1" applyAlignment="1">
      <alignment horizontal="center"/>
    </xf>
    <xf numFmtId="0" fontId="0" fillId="34" borderId="11" xfId="0" applyFill="1" applyBorder="1" applyAlignment="1">
      <alignment horizontal="center"/>
    </xf>
    <xf numFmtId="4" fontId="18" fillId="33" borderId="11" xfId="0" applyNumberFormat="1" applyFont="1" applyFill="1" applyBorder="1" applyAlignment="1">
      <alignment horizontal="center" vertical="center"/>
    </xf>
    <xf numFmtId="4" fontId="18" fillId="33" borderId="24" xfId="0" applyNumberFormat="1" applyFont="1" applyFill="1" applyBorder="1" applyAlignment="1">
      <alignment horizontal="center" vertical="center"/>
    </xf>
    <xf numFmtId="4" fontId="0" fillId="33" borderId="11" xfId="0" applyNumberFormat="1" applyFill="1" applyBorder="1" applyAlignment="1">
      <alignment horizontal="center"/>
    </xf>
    <xf numFmtId="0" fontId="18" fillId="0" borderId="23" xfId="0" applyFont="1" applyFill="1" applyBorder="1" applyAlignment="1">
      <alignment horizontal="left" vertical="center"/>
    </xf>
    <xf numFmtId="4" fontId="18" fillId="33" borderId="12" xfId="0" applyNumberFormat="1" applyFont="1" applyFill="1" applyBorder="1" applyAlignment="1">
      <alignment horizontal="center" vertical="center"/>
    </xf>
    <xf numFmtId="4" fontId="18" fillId="33" borderId="23" xfId="0" applyNumberFormat="1" applyFont="1" applyFill="1" applyBorder="1" applyAlignment="1">
      <alignment horizontal="center" vertical="center"/>
    </xf>
    <xf numFmtId="0" fontId="0" fillId="0" borderId="24" xfId="0" applyFill="1" applyBorder="1" applyAlignment="1">
      <alignment horizontal="left" vertical="center"/>
    </xf>
    <xf numFmtId="0" fontId="18" fillId="33" borderId="23" xfId="0" applyFont="1" applyFill="1" applyBorder="1" applyAlignment="1">
      <alignment horizontal="left" vertical="center"/>
    </xf>
    <xf numFmtId="171" fontId="0" fillId="33" borderId="11" xfId="0" applyNumberFormat="1" applyFill="1" applyBorder="1" applyAlignment="1">
      <alignment horizontal="center"/>
    </xf>
    <xf numFmtId="4" fontId="0" fillId="33" borderId="23" xfId="0" applyNumberFormat="1" applyFill="1" applyBorder="1" applyAlignment="1">
      <alignment horizontal="center"/>
    </xf>
    <xf numFmtId="0" fontId="18" fillId="33" borderId="12" xfId="0" applyFont="1" applyFill="1" applyBorder="1" applyAlignment="1">
      <alignment horizontal="left" vertical="center"/>
    </xf>
    <xf numFmtId="172" fontId="0" fillId="33" borderId="11" xfId="0" applyNumberFormat="1" applyFill="1" applyBorder="1" applyAlignment="1">
      <alignment horizontal="center"/>
    </xf>
    <xf numFmtId="4" fontId="0" fillId="33" borderId="12" xfId="0" applyNumberFormat="1" applyFont="1" applyFill="1" applyBorder="1" applyAlignment="1">
      <alignment horizontal="center" vertical="center"/>
    </xf>
    <xf numFmtId="4" fontId="0" fillId="33" borderId="23" xfId="0" applyNumberFormat="1" applyFont="1" applyFill="1" applyBorder="1" applyAlignment="1">
      <alignment horizontal="center" vertical="center"/>
    </xf>
    <xf numFmtId="4" fontId="0" fillId="33" borderId="11" xfId="0" applyNumberFormat="1" applyFont="1" applyFill="1" applyBorder="1" applyAlignment="1">
      <alignment horizontal="center" vertical="center"/>
    </xf>
    <xf numFmtId="173" fontId="0" fillId="33" borderId="11" xfId="0" applyNumberFormat="1" applyFill="1" applyBorder="1" applyAlignment="1">
      <alignment horizontal="center"/>
    </xf>
    <xf numFmtId="174" fontId="0" fillId="33" borderId="11" xfId="0" applyNumberFormat="1" applyFill="1" applyBorder="1" applyAlignment="1">
      <alignment horizontal="center"/>
    </xf>
    <xf numFmtId="175" fontId="0" fillId="33" borderId="11" xfId="0" applyNumberFormat="1" applyFill="1" applyBorder="1" applyAlignment="1">
      <alignment horizontal="center"/>
    </xf>
    <xf numFmtId="0" fontId="0" fillId="33" borderId="23" xfId="0" applyFill="1" applyBorder="1" applyAlignment="1">
      <alignment horizontal="left" vertical="center"/>
    </xf>
    <xf numFmtId="0" fontId="0" fillId="0" borderId="23" xfId="0" applyBorder="1" applyAlignment="1">
      <alignment horizontal="left"/>
    </xf>
    <xf numFmtId="0" fontId="0" fillId="33" borderId="12" xfId="0" applyFill="1" applyBorder="1" applyAlignment="1">
      <alignment horizontal="center" vertical="center"/>
    </xf>
    <xf numFmtId="0" fontId="0" fillId="0" borderId="23" xfId="0" applyFill="1" applyBorder="1" applyAlignment="1">
      <alignment horizontal="left"/>
    </xf>
    <xf numFmtId="0" fontId="0" fillId="0" borderId="12" xfId="0" applyFill="1" applyBorder="1" applyAlignment="1">
      <alignment horizontal="left"/>
    </xf>
    <xf numFmtId="176" fontId="0" fillId="33" borderId="11" xfId="0" applyNumberFormat="1" applyFill="1" applyBorder="1" applyAlignment="1">
      <alignment horizontal="center"/>
    </xf>
    <xf numFmtId="0" fontId="0" fillId="33" borderId="23" xfId="0" applyFill="1" applyBorder="1" applyAlignment="1">
      <alignment horizontal="left"/>
    </xf>
    <xf numFmtId="2" fontId="0" fillId="33" borderId="12" xfId="0" applyNumberFormat="1" applyFill="1" applyBorder="1" applyAlignment="1">
      <alignment horizontal="center"/>
    </xf>
    <xf numFmtId="2" fontId="0" fillId="33" borderId="11" xfId="0" applyNumberFormat="1" applyFill="1" applyBorder="1" applyAlignment="1">
      <alignment horizontal="center"/>
    </xf>
    <xf numFmtId="0" fontId="0" fillId="40" borderId="12" xfId="0" applyFill="1" applyBorder="1" applyAlignment="1">
      <alignment horizontal="center" vertical="center"/>
    </xf>
    <xf numFmtId="4" fontId="18" fillId="33" borderId="12" xfId="0" applyNumberFormat="1" applyFont="1" applyFill="1" applyBorder="1" applyAlignment="1">
      <alignment horizontal="center"/>
    </xf>
    <xf numFmtId="4" fontId="0" fillId="33" borderId="24" xfId="0" applyNumberFormat="1" applyFill="1" applyBorder="1" applyAlignment="1">
      <alignment horizontal="center"/>
    </xf>
    <xf numFmtId="11" fontId="18" fillId="33" borderId="12" xfId="0" applyNumberFormat="1" applyFont="1" applyFill="1" applyBorder="1" applyAlignment="1">
      <alignment horizontal="center" vertical="center"/>
    </xf>
    <xf numFmtId="11" fontId="0" fillId="33" borderId="11" xfId="0" applyNumberFormat="1" applyFill="1" applyBorder="1" applyAlignment="1">
      <alignment horizontal="center"/>
    </xf>
    <xf numFmtId="0" fontId="0" fillId="0" borderId="23" xfId="0" applyBorder="1" applyAlignment="1">
      <alignment horizontal="center"/>
    </xf>
    <xf numFmtId="11" fontId="0" fillId="0" borderId="12" xfId="0" applyNumberFormat="1" applyBorder="1" applyAlignment="1">
      <alignment horizontal="center"/>
    </xf>
    <xf numFmtId="11" fontId="0" fillId="0" borderId="23" xfId="0" applyNumberFormat="1" applyBorder="1" applyAlignment="1">
      <alignment horizontal="center"/>
    </xf>
    <xf numFmtId="4" fontId="0" fillId="0" borderId="12" xfId="0" applyNumberFormat="1" applyBorder="1" applyAlignment="1">
      <alignment horizontal="center"/>
    </xf>
    <xf numFmtId="11" fontId="0" fillId="33" borderId="12" xfId="0" applyNumberFormat="1" applyFill="1" applyBorder="1" applyAlignment="1">
      <alignment horizontal="center"/>
    </xf>
    <xf numFmtId="0" fontId="0" fillId="0" borderId="70" xfId="0" applyBorder="1" applyAlignment="1">
      <alignment horizontal="center"/>
    </xf>
    <xf numFmtId="177" fontId="0" fillId="33" borderId="11" xfId="0" applyNumberFormat="1" applyFill="1" applyBorder="1" applyAlignment="1">
      <alignment horizontal="center"/>
    </xf>
    <xf numFmtId="0" fontId="0" fillId="0" borderId="13" xfId="0" applyBorder="1" applyAlignment="1">
      <alignment horizontal="left"/>
    </xf>
    <xf numFmtId="4" fontId="0" fillId="33" borderId="70" xfId="0" applyNumberFormat="1" applyFill="1" applyBorder="1" applyAlignment="1">
      <alignment horizontal="center"/>
    </xf>
    <xf numFmtId="4" fontId="0" fillId="33" borderId="13" xfId="0" applyNumberFormat="1" applyFill="1" applyBorder="1" applyAlignment="1">
      <alignment horizontal="center"/>
    </xf>
    <xf numFmtId="0" fontId="46" fillId="0" borderId="0" xfId="0" applyFont="1" applyAlignment="1">
      <alignment horizontal="center"/>
    </xf>
    <xf numFmtId="0" fontId="46" fillId="0" borderId="0" xfId="0" applyNumberFormat="1" applyFont="1" applyAlignment="1">
      <alignment horizontal="center"/>
    </xf>
    <xf numFmtId="0" fontId="0" fillId="0" borderId="40" xfId="0" applyFill="1" applyBorder="1" applyAlignment="1">
      <alignment horizontal="center" vertical="center"/>
    </xf>
    <xf numFmtId="0" fontId="0" fillId="43" borderId="40" xfId="0" applyNumberFormat="1" applyFill="1" applyBorder="1" applyAlignment="1">
      <alignment horizontal="center"/>
    </xf>
    <xf numFmtId="165" fontId="0" fillId="43" borderId="40" xfId="0" applyNumberFormat="1" applyFill="1" applyBorder="1" applyAlignment="1">
      <alignment horizontal="center"/>
    </xf>
    <xf numFmtId="178" fontId="0" fillId="0" borderId="0" xfId="0" applyNumberFormat="1" applyAlignment="1">
      <alignment horizontal="center"/>
    </xf>
    <xf numFmtId="166" fontId="0" fillId="0" borderId="0" xfId="0" applyNumberFormat="1" applyFill="1"/>
    <xf numFmtId="168" fontId="0" fillId="43" borderId="40" xfId="0" applyNumberFormat="1" applyFill="1" applyBorder="1" applyAlignment="1">
      <alignment horizontal="right"/>
    </xf>
    <xf numFmtId="0" fontId="0" fillId="0" borderId="0" xfId="0" applyFill="1" applyAlignment="1" applyProtection="1">
      <alignment wrapText="1"/>
      <protection locked="0"/>
    </xf>
    <xf numFmtId="0" fontId="19" fillId="36" borderId="42" xfId="0" applyFont="1" applyFill="1" applyBorder="1" applyAlignment="1">
      <alignment horizontal="center" vertical="center" wrapText="1"/>
    </xf>
    <xf numFmtId="0" fontId="19" fillId="36" borderId="43" xfId="0" applyFont="1" applyFill="1" applyBorder="1" applyAlignment="1">
      <alignment horizontal="center" vertical="center" wrapText="1"/>
    </xf>
    <xf numFmtId="0" fontId="19" fillId="37" borderId="43" xfId="0" applyFont="1" applyFill="1" applyBorder="1" applyAlignment="1">
      <alignment horizontal="center" vertical="center" wrapText="1"/>
    </xf>
    <xf numFmtId="0" fontId="19" fillId="37" borderId="44" xfId="0" applyFont="1" applyFill="1" applyBorder="1" applyAlignment="1">
      <alignment horizontal="center" vertical="center" wrapText="1"/>
    </xf>
    <xf numFmtId="0" fontId="30" fillId="36" borderId="43" xfId="42" applyFont="1" applyFill="1" applyBorder="1" applyAlignment="1">
      <alignment horizontal="center" vertical="center" wrapText="1"/>
    </xf>
    <xf numFmtId="0" fontId="19" fillId="36" borderId="51" xfId="0" applyFont="1" applyFill="1" applyBorder="1" applyAlignment="1">
      <alignment horizontal="center" vertical="center" wrapText="1"/>
    </xf>
    <xf numFmtId="0" fontId="19" fillId="36" borderId="40" xfId="0" applyFont="1" applyFill="1" applyBorder="1" applyAlignment="1">
      <alignment horizontal="center" vertical="center" wrapText="1"/>
    </xf>
    <xf numFmtId="0" fontId="19" fillId="37" borderId="40" xfId="0" applyFont="1" applyFill="1" applyBorder="1" applyAlignment="1">
      <alignment horizontal="center" vertical="center" wrapText="1"/>
    </xf>
    <xf numFmtId="0" fontId="19" fillId="36" borderId="55" xfId="0" applyFont="1" applyFill="1" applyBorder="1" applyAlignment="1">
      <alignment horizontal="center" vertical="center" wrapText="1"/>
    </xf>
    <xf numFmtId="0" fontId="44" fillId="0" borderId="0" xfId="0" applyFont="1" applyAlignment="1">
      <alignment horizontal="right"/>
    </xf>
    <xf numFmtId="0" fontId="46" fillId="0" borderId="0" xfId="0" applyFont="1" applyAlignment="1">
      <alignment horizontal="right"/>
    </xf>
    <xf numFmtId="0" fontId="46" fillId="0" borderId="0" xfId="0" applyNumberFormat="1" applyFont="1" applyAlignment="1">
      <alignment horizontal="right"/>
    </xf>
    <xf numFmtId="2" fontId="0" fillId="0" borderId="40" xfId="0" applyNumberFormat="1" applyFill="1" applyBorder="1" applyAlignment="1">
      <alignment horizontal="right"/>
    </xf>
    <xf numFmtId="0" fontId="0" fillId="33" borderId="0" xfId="0" applyFill="1" applyAlignment="1">
      <alignment horizontal="right"/>
    </xf>
    <xf numFmtId="166" fontId="0" fillId="0" borderId="40" xfId="0" applyNumberFormat="1" applyFill="1" applyBorder="1" applyAlignment="1">
      <alignment horizontal="right"/>
    </xf>
    <xf numFmtId="2" fontId="0" fillId="43" borderId="40" xfId="0" applyNumberFormat="1" applyFill="1" applyBorder="1" applyAlignment="1">
      <alignment horizontal="right"/>
    </xf>
    <xf numFmtId="0" fontId="44" fillId="0" borderId="0" xfId="0" applyFont="1" applyFill="1" applyAlignment="1">
      <alignment horizontal="center"/>
    </xf>
    <xf numFmtId="0" fontId="40" fillId="0" borderId="63" xfId="0" applyFont="1" applyFill="1" applyBorder="1" applyAlignment="1">
      <alignment horizontal="center" vertical="center" wrapText="1"/>
    </xf>
    <xf numFmtId="0" fontId="40" fillId="0" borderId="64" xfId="0" applyFont="1" applyFill="1" applyBorder="1" applyAlignment="1">
      <alignment horizontal="center" vertical="center" wrapText="1"/>
    </xf>
    <xf numFmtId="165" fontId="0" fillId="0" borderId="0" xfId="0" applyNumberFormat="1" applyAlignment="1">
      <alignment horizontal="center"/>
    </xf>
    <xf numFmtId="0" fontId="0" fillId="0" borderId="0" xfId="0" applyFill="1" applyAlignment="1">
      <alignment horizontal="left"/>
    </xf>
    <xf numFmtId="0" fontId="19" fillId="44" borderId="40" xfId="0" applyFont="1" applyFill="1" applyBorder="1" applyAlignment="1" applyProtection="1">
      <alignment horizontal="center" vertical="center" wrapText="1"/>
      <protection locked="0"/>
    </xf>
    <xf numFmtId="165" fontId="0" fillId="0" borderId="40" xfId="0" applyNumberFormat="1" applyFill="1" applyBorder="1" applyAlignment="1">
      <alignment horizontal="left"/>
    </xf>
    <xf numFmtId="3" fontId="40" fillId="0" borderId="43" xfId="0" applyNumberFormat="1" applyFont="1" applyBorder="1" applyAlignment="1">
      <alignment horizontal="center" vertical="center"/>
    </xf>
    <xf numFmtId="0" fontId="0" fillId="0" borderId="40" xfId="0" applyBorder="1"/>
    <xf numFmtId="0" fontId="23" fillId="0" borderId="0" xfId="0" applyFont="1" applyAlignment="1">
      <alignment horizontal="left" vertical="center"/>
    </xf>
    <xf numFmtId="0" fontId="43" fillId="0" borderId="0" xfId="0" applyFont="1" applyBorder="1" applyAlignment="1">
      <alignment horizontal="center" vertical="center" wrapText="1"/>
    </xf>
    <xf numFmtId="0" fontId="22" fillId="0" borderId="52" xfId="0" applyFont="1" applyBorder="1" applyAlignment="1">
      <alignment vertical="center"/>
    </xf>
    <xf numFmtId="0" fontId="23" fillId="0" borderId="0" xfId="0" applyFont="1" applyBorder="1" applyAlignment="1">
      <alignment vertical="center"/>
    </xf>
    <xf numFmtId="0" fontId="23" fillId="33" borderId="33" xfId="0" applyFont="1" applyFill="1" applyBorder="1" applyAlignment="1">
      <alignment horizontal="center" vertical="center"/>
    </xf>
    <xf numFmtId="0" fontId="23" fillId="0" borderId="52" xfId="0" applyFont="1" applyBorder="1" applyAlignment="1">
      <alignment horizontal="center" vertical="center"/>
    </xf>
    <xf numFmtId="0" fontId="23" fillId="0" borderId="0" xfId="0" applyFont="1" applyBorder="1" applyAlignment="1">
      <alignment horizontal="center" vertical="center" wrapText="1"/>
    </xf>
    <xf numFmtId="0" fontId="23" fillId="0" borderId="0" xfId="0" applyFont="1" applyAlignment="1">
      <alignment vertical="center"/>
    </xf>
    <xf numFmtId="0" fontId="42" fillId="0" borderId="41" xfId="0" applyFont="1" applyFill="1" applyBorder="1" applyAlignment="1">
      <alignment horizontal="center" vertical="center" wrapText="1"/>
    </xf>
    <xf numFmtId="0" fontId="42" fillId="0" borderId="40" xfId="0" applyFont="1" applyFill="1" applyBorder="1" applyAlignment="1">
      <alignment horizontal="center" vertical="center" wrapText="1"/>
    </xf>
    <xf numFmtId="0" fontId="41" fillId="0" borderId="0" xfId="0" applyFont="1" applyAlignment="1">
      <alignment vertical="center"/>
    </xf>
    <xf numFmtId="0" fontId="41" fillId="0" borderId="0" xfId="0" applyFont="1" applyBorder="1" applyAlignment="1">
      <alignment horizontal="center" vertical="center" wrapText="1"/>
    </xf>
    <xf numFmtId="0" fontId="41" fillId="0" borderId="0" xfId="0" applyFont="1" applyBorder="1" applyAlignment="1">
      <alignment horizontal="justify" vertical="center" wrapText="1"/>
    </xf>
    <xf numFmtId="14" fontId="41" fillId="0" borderId="0" xfId="0" applyNumberFormat="1" applyFont="1" applyBorder="1" applyAlignment="1">
      <alignment horizontal="center" vertical="center" wrapText="1"/>
    </xf>
    <xf numFmtId="0" fontId="23" fillId="0" borderId="0" xfId="0" applyFont="1" applyBorder="1" applyAlignment="1">
      <alignment horizontal="left" vertical="center"/>
    </xf>
    <xf numFmtId="0" fontId="21" fillId="0" borderId="0" xfId="0" applyFont="1" applyBorder="1" applyAlignment="1">
      <alignment horizontal="left" vertical="center"/>
    </xf>
    <xf numFmtId="0" fontId="23" fillId="0" borderId="0" xfId="0" applyFont="1" applyFill="1" applyAlignment="1">
      <alignment vertical="center"/>
    </xf>
    <xf numFmtId="0" fontId="23" fillId="0" borderId="0" xfId="0" applyFont="1" applyFill="1" applyBorder="1" applyAlignment="1">
      <alignment vertical="center"/>
    </xf>
    <xf numFmtId="0" fontId="23" fillId="0" borderId="52" xfId="0" applyFont="1" applyBorder="1" applyAlignment="1">
      <alignment vertical="center"/>
    </xf>
    <xf numFmtId="0" fontId="23" fillId="0" borderId="33" xfId="0" applyFont="1" applyBorder="1" applyAlignment="1">
      <alignment vertical="center"/>
    </xf>
    <xf numFmtId="0" fontId="49" fillId="0" borderId="0" xfId="0" applyFont="1" applyAlignment="1">
      <alignment vertical="center"/>
    </xf>
    <xf numFmtId="168" fontId="23" fillId="0" borderId="0" xfId="0" applyNumberFormat="1" applyFont="1" applyBorder="1" applyAlignment="1">
      <alignment vertical="center"/>
    </xf>
    <xf numFmtId="168" fontId="23" fillId="0" borderId="0" xfId="0" applyNumberFormat="1" applyFont="1" applyAlignment="1">
      <alignment vertical="center"/>
    </xf>
    <xf numFmtId="166" fontId="23" fillId="0" borderId="0" xfId="0" applyNumberFormat="1" applyFont="1" applyAlignment="1">
      <alignment vertical="center"/>
    </xf>
    <xf numFmtId="170" fontId="23" fillId="0" borderId="0" xfId="0" applyNumberFormat="1" applyFont="1" applyAlignment="1">
      <alignment vertical="center"/>
    </xf>
    <xf numFmtId="9" fontId="23" fillId="0" borderId="0" xfId="0" applyNumberFormat="1" applyFont="1" applyAlignment="1">
      <alignment vertical="center"/>
    </xf>
    <xf numFmtId="0" fontId="23" fillId="0" borderId="0" xfId="0" applyFont="1" applyAlignment="1">
      <alignment horizontal="right" vertical="center"/>
    </xf>
    <xf numFmtId="0" fontId="23" fillId="0" borderId="0" xfId="0" applyFont="1" applyAlignment="1">
      <alignment horizontal="center" vertical="center"/>
    </xf>
    <xf numFmtId="1" fontId="23" fillId="0" borderId="0" xfId="0" applyNumberFormat="1" applyFont="1" applyAlignment="1">
      <alignment vertical="center"/>
    </xf>
    <xf numFmtId="0" fontId="23" fillId="0" borderId="0" xfId="0" applyNumberFormat="1" applyFont="1" applyAlignment="1">
      <alignment vertical="center"/>
    </xf>
    <xf numFmtId="169" fontId="23" fillId="0" borderId="0" xfId="0" applyNumberFormat="1" applyFont="1" applyAlignment="1">
      <alignment vertical="center"/>
    </xf>
    <xf numFmtId="11" fontId="0" fillId="0" borderId="0" xfId="0" applyNumberFormat="1"/>
    <xf numFmtId="165" fontId="0" fillId="43" borderId="40" xfId="0" applyNumberFormat="1" applyFill="1" applyBorder="1" applyAlignment="1">
      <alignment horizontal="right"/>
    </xf>
    <xf numFmtId="168" fontId="0" fillId="43" borderId="40" xfId="0" applyNumberFormat="1" applyFill="1" applyBorder="1" applyAlignment="1">
      <alignment horizontal="center" vertical="center"/>
    </xf>
    <xf numFmtId="0" fontId="19" fillId="44" borderId="40" xfId="0" applyFont="1" applyFill="1" applyBorder="1" applyAlignment="1" applyProtection="1">
      <alignment horizontal="center" vertical="center" wrapText="1"/>
      <protection locked="0"/>
    </xf>
    <xf numFmtId="0" fontId="19" fillId="44" borderId="40" xfId="0" applyNumberFormat="1" applyFont="1" applyFill="1" applyBorder="1" applyAlignment="1" applyProtection="1">
      <alignment horizontal="center" vertical="center" wrapText="1"/>
      <protection locked="0"/>
    </xf>
    <xf numFmtId="0" fontId="16" fillId="44" borderId="40" xfId="0" applyFont="1" applyFill="1" applyBorder="1" applyAlignment="1">
      <alignment horizontal="center"/>
    </xf>
    <xf numFmtId="0" fontId="16" fillId="36" borderId="39" xfId="0" applyFont="1" applyFill="1" applyBorder="1" applyAlignment="1">
      <alignment horizontal="center"/>
    </xf>
    <xf numFmtId="0" fontId="16" fillId="36" borderId="40" xfId="0" applyFont="1" applyFill="1" applyBorder="1" applyAlignment="1">
      <alignment horizontal="center"/>
    </xf>
    <xf numFmtId="0" fontId="16" fillId="37" borderId="40" xfId="0" applyFont="1" applyFill="1" applyBorder="1" applyAlignment="1">
      <alignment horizontal="center" vertical="center"/>
    </xf>
    <xf numFmtId="0" fontId="16" fillId="36" borderId="54" xfId="0" applyFont="1" applyFill="1" applyBorder="1" applyAlignment="1">
      <alignment horizontal="center"/>
    </xf>
    <xf numFmtId="0" fontId="16" fillId="36" borderId="15" xfId="0" applyFont="1" applyFill="1" applyBorder="1" applyAlignment="1">
      <alignment horizontal="center"/>
    </xf>
    <xf numFmtId="0" fontId="16" fillId="36" borderId="38" xfId="0" applyFont="1" applyFill="1" applyBorder="1" applyAlignment="1">
      <alignment horizontal="center"/>
    </xf>
    <xf numFmtId="0" fontId="16" fillId="36" borderId="16" xfId="0" applyFont="1" applyFill="1" applyBorder="1" applyAlignment="1">
      <alignment horizontal="center"/>
    </xf>
    <xf numFmtId="0" fontId="16" fillId="36" borderId="53" xfId="0" applyFont="1" applyFill="1" applyBorder="1" applyAlignment="1">
      <alignment horizontal="center"/>
    </xf>
    <xf numFmtId="0" fontId="16" fillId="36" borderId="36" xfId="0" applyFont="1" applyFill="1" applyBorder="1" applyAlignment="1">
      <alignment horizontal="center"/>
    </xf>
    <xf numFmtId="0" fontId="16" fillId="36" borderId="49" xfId="0" applyFont="1" applyFill="1" applyBorder="1" applyAlignment="1">
      <alignment horizontal="center"/>
    </xf>
    <xf numFmtId="0" fontId="16" fillId="37" borderId="41" xfId="0" applyFont="1" applyFill="1" applyBorder="1" applyAlignment="1">
      <alignment horizontal="center" vertical="center"/>
    </xf>
    <xf numFmtId="0" fontId="16" fillId="37" borderId="23" xfId="0" applyFont="1" applyFill="1" applyBorder="1" applyAlignment="1">
      <alignment horizontal="center" vertical="center"/>
    </xf>
    <xf numFmtId="0" fontId="16" fillId="37" borderId="17" xfId="0" applyFont="1" applyFill="1" applyBorder="1" applyAlignment="1">
      <alignment horizontal="center" vertical="center"/>
    </xf>
    <xf numFmtId="0" fontId="16" fillId="36" borderId="50" xfId="0" applyFont="1" applyFill="1" applyBorder="1" applyAlignment="1">
      <alignment horizontal="center"/>
    </xf>
    <xf numFmtId="0" fontId="16" fillId="36" borderId="20" xfId="0" applyFont="1" applyFill="1" applyBorder="1" applyAlignment="1">
      <alignment horizontal="center"/>
    </xf>
    <xf numFmtId="0" fontId="16" fillId="36" borderId="23" xfId="0" applyFont="1" applyFill="1" applyBorder="1" applyAlignment="1">
      <alignment horizontal="center"/>
    </xf>
    <xf numFmtId="0" fontId="16" fillId="36" borderId="41" xfId="0" applyFont="1" applyFill="1" applyBorder="1" applyAlignment="1">
      <alignment horizontal="center"/>
    </xf>
    <xf numFmtId="0" fontId="16" fillId="36" borderId="17" xfId="0" applyFont="1" applyFill="1" applyBorder="1" applyAlignment="1">
      <alignment horizontal="center"/>
    </xf>
    <xf numFmtId="49" fontId="40" fillId="0" borderId="18" xfId="0" applyNumberFormat="1" applyFont="1" applyBorder="1" applyAlignment="1">
      <alignment horizontal="left" vertical="top" wrapText="1"/>
    </xf>
    <xf numFmtId="49" fontId="40" fillId="0" borderId="19" xfId="0" applyNumberFormat="1" applyFont="1" applyBorder="1" applyAlignment="1">
      <alignment horizontal="left" vertical="top" wrapText="1"/>
    </xf>
    <xf numFmtId="49" fontId="40" fillId="0" borderId="27" xfId="0" applyNumberFormat="1" applyFont="1" applyBorder="1" applyAlignment="1">
      <alignment horizontal="left" vertical="top" wrapText="1"/>
    </xf>
    <xf numFmtId="49" fontId="40" fillId="0" borderId="52" xfId="0" applyNumberFormat="1" applyFont="1" applyBorder="1" applyAlignment="1">
      <alignment horizontal="left" vertical="top" wrapText="1"/>
    </xf>
    <xf numFmtId="49" fontId="40" fillId="0" borderId="0" xfId="0" applyNumberFormat="1" applyFont="1" applyBorder="1" applyAlignment="1">
      <alignment horizontal="left" vertical="top" wrapText="1"/>
    </xf>
    <xf numFmtId="49" fontId="40" fillId="0" borderId="33" xfId="0" applyNumberFormat="1" applyFont="1" applyBorder="1" applyAlignment="1">
      <alignment horizontal="left" vertical="top" wrapText="1"/>
    </xf>
    <xf numFmtId="49" fontId="40" fillId="0" borderId="25" xfId="0" applyNumberFormat="1" applyFont="1" applyBorder="1" applyAlignment="1">
      <alignment horizontal="left" vertical="top" wrapText="1"/>
    </xf>
    <xf numFmtId="49" fontId="40" fillId="0" borderId="28" xfId="0" applyNumberFormat="1" applyFont="1" applyBorder="1" applyAlignment="1">
      <alignment horizontal="left" vertical="top" wrapText="1"/>
    </xf>
    <xf numFmtId="49" fontId="40" fillId="0" borderId="26" xfId="0" applyNumberFormat="1" applyFont="1" applyBorder="1" applyAlignment="1">
      <alignment horizontal="left" vertical="top" wrapText="1"/>
    </xf>
    <xf numFmtId="0" fontId="21" fillId="0" borderId="0" xfId="0" applyFont="1" applyBorder="1" applyAlignment="1">
      <alignment horizontal="left" vertical="center" wrapText="1"/>
    </xf>
    <xf numFmtId="0" fontId="23" fillId="0" borderId="60" xfId="0" applyFont="1" applyFill="1" applyBorder="1" applyAlignment="1">
      <alignment horizontal="center" vertical="center"/>
    </xf>
    <xf numFmtId="0" fontId="23" fillId="0" borderId="27" xfId="0" applyFont="1" applyFill="1" applyBorder="1" applyAlignment="1">
      <alignment horizontal="center" vertical="center"/>
    </xf>
    <xf numFmtId="0" fontId="23" fillId="0" borderId="63" xfId="0" applyFont="1" applyFill="1" applyBorder="1" applyAlignment="1">
      <alignment horizontal="center" vertical="center"/>
    </xf>
    <xf numFmtId="0" fontId="23" fillId="0" borderId="33" xfId="0" applyFont="1" applyFill="1" applyBorder="1" applyAlignment="1">
      <alignment horizontal="center" vertical="center"/>
    </xf>
    <xf numFmtId="0" fontId="43" fillId="0" borderId="60" xfId="0" applyFont="1" applyFill="1" applyBorder="1" applyAlignment="1">
      <alignment horizontal="center" vertical="center" wrapText="1"/>
    </xf>
    <xf numFmtId="0" fontId="43" fillId="0" borderId="19" xfId="0" applyFont="1" applyFill="1" applyBorder="1" applyAlignment="1">
      <alignment horizontal="center" vertical="center" wrapText="1"/>
    </xf>
    <xf numFmtId="0" fontId="43" fillId="0" borderId="59" xfId="0" applyFont="1" applyFill="1" applyBorder="1" applyAlignment="1">
      <alignment horizontal="center" vertical="center" wrapText="1"/>
    </xf>
    <xf numFmtId="0" fontId="43" fillId="0" borderId="58" xfId="0" applyFont="1" applyFill="1" applyBorder="1" applyAlignment="1">
      <alignment horizontal="center" vertical="center" wrapText="1"/>
    </xf>
    <xf numFmtId="0" fontId="43" fillId="0" borderId="24" xfId="0" applyFont="1" applyFill="1" applyBorder="1" applyAlignment="1">
      <alignment horizontal="center" vertical="center" wrapText="1"/>
    </xf>
    <xf numFmtId="0" fontId="43" fillId="0" borderId="10" xfId="0" applyFont="1" applyFill="1" applyBorder="1" applyAlignment="1">
      <alignment horizontal="center" vertical="center" wrapText="1"/>
    </xf>
    <xf numFmtId="0" fontId="40" fillId="0" borderId="18" xfId="0" applyFont="1" applyFill="1" applyBorder="1" applyAlignment="1">
      <alignment horizontal="center" vertical="center" wrapText="1"/>
    </xf>
    <xf numFmtId="0" fontId="40" fillId="0" borderId="59" xfId="0" applyFont="1" applyFill="1" applyBorder="1" applyAlignment="1">
      <alignment horizontal="center" vertical="center" wrapText="1"/>
    </xf>
    <xf numFmtId="0" fontId="40" fillId="0" borderId="29" xfId="0" applyFont="1" applyFill="1" applyBorder="1" applyAlignment="1">
      <alignment horizontal="center" vertical="center" wrapText="1"/>
    </xf>
    <xf numFmtId="0" fontId="40" fillId="0" borderId="10" xfId="0" applyFont="1" applyFill="1" applyBorder="1" applyAlignment="1">
      <alignment horizontal="center" vertical="center" wrapText="1"/>
    </xf>
    <xf numFmtId="0" fontId="42" fillId="0" borderId="20" xfId="0" applyFont="1" applyFill="1" applyBorder="1" applyAlignment="1">
      <alignment horizontal="left" vertical="center" wrapText="1"/>
    </xf>
    <xf numFmtId="0" fontId="42" fillId="0" borderId="54" xfId="0" applyFont="1" applyFill="1" applyBorder="1" applyAlignment="1">
      <alignment horizontal="left" vertical="center" wrapText="1"/>
    </xf>
    <xf numFmtId="0" fontId="40" fillId="0" borderId="25" xfId="0" applyFont="1" applyFill="1" applyBorder="1" applyAlignment="1">
      <alignment horizontal="center" vertical="center" wrapText="1"/>
    </xf>
    <xf numFmtId="0" fontId="40" fillId="0" borderId="61" xfId="0" applyFont="1" applyFill="1" applyBorder="1" applyAlignment="1">
      <alignment horizontal="center" vertical="center" wrapText="1"/>
    </xf>
    <xf numFmtId="0" fontId="42" fillId="0" borderId="41" xfId="0" applyFont="1" applyFill="1" applyBorder="1" applyAlignment="1">
      <alignment horizontal="left" vertical="center" wrapText="1"/>
    </xf>
    <xf numFmtId="0" fontId="42" fillId="0" borderId="17" xfId="0" applyFont="1" applyFill="1" applyBorder="1" applyAlignment="1">
      <alignment horizontal="left" vertical="center" wrapText="1"/>
    </xf>
    <xf numFmtId="0" fontId="40" fillId="0" borderId="58" xfId="0" applyFont="1" applyFill="1" applyBorder="1" applyAlignment="1">
      <alignment horizontal="center" vertical="center" wrapText="1"/>
    </xf>
    <xf numFmtId="0" fontId="40" fillId="0" borderId="30" xfId="0" applyFont="1" applyFill="1" applyBorder="1" applyAlignment="1">
      <alignment horizontal="center" vertical="center" wrapText="1"/>
    </xf>
    <xf numFmtId="0" fontId="42" fillId="0" borderId="23" xfId="0" applyFont="1" applyFill="1" applyBorder="1" applyAlignment="1">
      <alignment horizontal="left" vertical="center" wrapText="1"/>
    </xf>
    <xf numFmtId="14" fontId="40" fillId="0" borderId="28" xfId="0" applyNumberFormat="1" applyFont="1" applyFill="1" applyBorder="1" applyAlignment="1">
      <alignment horizontal="center" vertical="center" wrapText="1"/>
    </xf>
    <xf numFmtId="14" fontId="40" fillId="0" borderId="26" xfId="0" applyNumberFormat="1" applyFont="1" applyFill="1" applyBorder="1" applyAlignment="1">
      <alignment horizontal="center" vertical="center" wrapText="1"/>
    </xf>
    <xf numFmtId="0" fontId="40" fillId="0" borderId="62" xfId="0" applyFont="1" applyFill="1" applyBorder="1" applyAlignment="1">
      <alignment horizontal="center" vertical="center" wrapText="1"/>
    </xf>
    <xf numFmtId="0" fontId="40" fillId="0" borderId="28" xfId="0" applyFont="1" applyFill="1" applyBorder="1" applyAlignment="1">
      <alignment horizontal="center" vertical="center" wrapText="1"/>
    </xf>
    <xf numFmtId="0" fontId="40" fillId="0" borderId="29" xfId="0" applyFont="1" applyFill="1" applyBorder="1" applyAlignment="1">
      <alignment horizontal="left" vertical="center" wrapText="1"/>
    </xf>
    <xf numFmtId="0" fontId="40" fillId="0" borderId="24" xfId="0" applyFont="1" applyFill="1" applyBorder="1" applyAlignment="1">
      <alignment horizontal="left" vertical="center" wrapText="1"/>
    </xf>
    <xf numFmtId="0" fontId="40" fillId="0" borderId="10" xfId="0" applyFont="1" applyFill="1" applyBorder="1" applyAlignment="1">
      <alignment horizontal="left" vertical="center" wrapText="1"/>
    </xf>
    <xf numFmtId="0" fontId="22" fillId="0" borderId="39" xfId="0" applyFont="1" applyFill="1" applyBorder="1" applyAlignment="1">
      <alignment horizontal="left" vertical="center"/>
    </xf>
    <xf numFmtId="0" fontId="22" fillId="0" borderId="40" xfId="0" applyFont="1" applyFill="1" applyBorder="1" applyAlignment="1">
      <alignment horizontal="left" vertical="center"/>
    </xf>
    <xf numFmtId="0" fontId="22" fillId="0" borderId="42" xfId="0" applyFont="1" applyFill="1" applyBorder="1" applyAlignment="1">
      <alignment horizontal="left" vertical="center"/>
    </xf>
    <xf numFmtId="0" fontId="22" fillId="0" borderId="43" xfId="0" applyFont="1" applyFill="1" applyBorder="1" applyAlignment="1">
      <alignment horizontal="left" vertical="center"/>
    </xf>
    <xf numFmtId="0" fontId="22" fillId="0" borderId="42" xfId="0" applyFont="1" applyBorder="1" applyAlignment="1">
      <alignment horizontal="left" vertical="center"/>
    </xf>
    <xf numFmtId="0" fontId="22" fillId="0" borderId="43" xfId="0" applyFont="1" applyBorder="1" applyAlignment="1">
      <alignment horizontal="left" vertical="center"/>
    </xf>
    <xf numFmtId="0" fontId="40" fillId="0" borderId="44" xfId="0" applyFont="1" applyBorder="1" applyAlignment="1">
      <alignment horizontal="left" vertical="center"/>
    </xf>
    <xf numFmtId="0" fontId="40" fillId="0" borderId="45" xfId="0" applyFont="1" applyBorder="1" applyAlignment="1">
      <alignment horizontal="left" vertical="center"/>
    </xf>
    <xf numFmtId="0" fontId="40" fillId="0" borderId="31" xfId="0" applyFont="1" applyBorder="1" applyAlignment="1">
      <alignment horizontal="left" vertical="center"/>
    </xf>
    <xf numFmtId="0" fontId="22" fillId="0" borderId="46" xfId="0" applyFont="1" applyBorder="1" applyAlignment="1">
      <alignment horizontal="left" vertical="center"/>
    </xf>
    <xf numFmtId="0" fontId="22" fillId="0" borderId="47" xfId="0" applyFont="1" applyBorder="1" applyAlignment="1">
      <alignment horizontal="left" vertical="center"/>
    </xf>
    <xf numFmtId="0" fontId="40" fillId="0" borderId="47" xfId="0" applyFont="1" applyBorder="1" applyAlignment="1">
      <alignment horizontal="center" vertical="center"/>
    </xf>
    <xf numFmtId="0" fontId="40" fillId="0" borderId="48" xfId="0" applyFont="1" applyBorder="1" applyAlignment="1">
      <alignment horizontal="center" vertical="center"/>
    </xf>
    <xf numFmtId="0" fontId="22" fillId="0" borderId="35" xfId="0" applyFont="1" applyBorder="1" applyAlignment="1">
      <alignment horizontal="left" vertical="center" wrapText="1"/>
    </xf>
    <xf numFmtId="0" fontId="22" fillId="0" borderId="36" xfId="0" applyFont="1" applyBorder="1" applyAlignment="1">
      <alignment horizontal="left" vertical="center" wrapText="1"/>
    </xf>
    <xf numFmtId="0" fontId="40" fillId="0" borderId="37" xfId="0" applyFont="1" applyBorder="1" applyAlignment="1">
      <alignment horizontal="left" vertical="center"/>
    </xf>
    <xf numFmtId="0" fontId="40" fillId="0" borderId="38" xfId="0" applyFont="1" applyBorder="1" applyAlignment="1">
      <alignment horizontal="left" vertical="center"/>
    </xf>
    <xf numFmtId="0" fontId="40" fillId="0" borderId="16" xfId="0" applyFont="1" applyBorder="1" applyAlignment="1">
      <alignment horizontal="left" vertical="center"/>
    </xf>
    <xf numFmtId="0" fontId="22" fillId="0" borderId="39" xfId="0" applyFont="1" applyBorder="1" applyAlignment="1">
      <alignment horizontal="left" vertical="center" wrapText="1"/>
    </xf>
    <xf numFmtId="0" fontId="22" fillId="0" borderId="40" xfId="0" applyFont="1" applyBorder="1" applyAlignment="1">
      <alignment horizontal="left" vertical="center" wrapText="1"/>
    </xf>
    <xf numFmtId="0" fontId="40" fillId="0" borderId="41" xfId="0" applyFont="1" applyBorder="1" applyAlignment="1">
      <alignment horizontal="left" vertical="center"/>
    </xf>
    <xf numFmtId="0" fontId="40" fillId="0" borderId="23" xfId="0" applyFont="1" applyBorder="1" applyAlignment="1">
      <alignment horizontal="left" vertical="center"/>
    </xf>
    <xf numFmtId="0" fontId="40" fillId="0" borderId="17" xfId="0" applyFont="1" applyBorder="1" applyAlignment="1">
      <alignment horizontal="left" vertical="center"/>
    </xf>
    <xf numFmtId="0" fontId="22" fillId="0" borderId="36" xfId="0" applyFont="1" applyBorder="1" applyAlignment="1">
      <alignment horizontal="center" vertical="center" wrapText="1"/>
    </xf>
    <xf numFmtId="0" fontId="22" fillId="0" borderId="49" xfId="0" applyFont="1" applyBorder="1" applyAlignment="1">
      <alignment horizontal="center" vertical="center" wrapText="1"/>
    </xf>
    <xf numFmtId="0" fontId="22" fillId="0" borderId="40" xfId="0" applyFont="1" applyBorder="1" applyAlignment="1">
      <alignment horizontal="center" vertical="center" wrapText="1"/>
    </xf>
    <xf numFmtId="0" fontId="22" fillId="0" borderId="50" xfId="0" applyFont="1" applyBorder="1" applyAlignment="1">
      <alignment horizontal="center" vertical="center" wrapText="1"/>
    </xf>
    <xf numFmtId="167" fontId="40" fillId="0" borderId="43" xfId="0" applyNumberFormat="1" applyFont="1" applyBorder="1" applyAlignment="1">
      <alignment horizontal="center" vertical="center" wrapText="1"/>
    </xf>
    <xf numFmtId="167" fontId="40" fillId="0" borderId="51" xfId="0" applyNumberFormat="1" applyFont="1" applyBorder="1" applyAlignment="1">
      <alignment horizontal="center" vertical="center" wrapText="1"/>
    </xf>
    <xf numFmtId="0" fontId="22" fillId="0" borderId="36" xfId="0" applyFont="1" applyBorder="1" applyAlignment="1">
      <alignment horizontal="center" vertical="center"/>
    </xf>
    <xf numFmtId="0" fontId="22" fillId="0" borderId="49" xfId="0" applyFont="1" applyBorder="1" applyAlignment="1">
      <alignment horizontal="center" vertical="center"/>
    </xf>
    <xf numFmtId="168" fontId="40" fillId="0" borderId="43" xfId="0" applyNumberFormat="1" applyFont="1" applyBorder="1" applyAlignment="1">
      <alignment horizontal="right" vertical="center"/>
    </xf>
    <xf numFmtId="168" fontId="40" fillId="0" borderId="51" xfId="0" applyNumberFormat="1" applyFont="1" applyBorder="1" applyAlignment="1">
      <alignment horizontal="right" vertical="center"/>
    </xf>
    <xf numFmtId="0" fontId="43" fillId="0" borderId="67" xfId="0" applyFont="1" applyBorder="1" applyAlignment="1">
      <alignment horizontal="center" vertical="center"/>
    </xf>
    <xf numFmtId="0" fontId="43" fillId="0" borderId="22" xfId="0" applyFont="1" applyBorder="1" applyAlignment="1">
      <alignment horizontal="center" vertical="center"/>
    </xf>
    <xf numFmtId="0" fontId="43" fillId="0" borderId="32" xfId="0" applyFont="1" applyBorder="1" applyAlignment="1">
      <alignment horizontal="center" vertical="center"/>
    </xf>
    <xf numFmtId="0" fontId="22" fillId="0" borderId="35" xfId="0" applyFont="1" applyBorder="1" applyAlignment="1">
      <alignment horizontal="center" vertical="center"/>
    </xf>
    <xf numFmtId="3" fontId="40" fillId="0" borderId="39" xfId="0" applyNumberFormat="1" applyFont="1" applyBorder="1" applyAlignment="1">
      <alignment horizontal="center" vertical="center"/>
    </xf>
    <xf numFmtId="3" fontId="40" fillId="0" borderId="40" xfId="0" applyNumberFormat="1" applyFont="1" applyBorder="1" applyAlignment="1">
      <alignment horizontal="center" vertical="center"/>
    </xf>
    <xf numFmtId="3" fontId="40" fillId="0" borderId="42" xfId="0" applyNumberFormat="1" applyFont="1" applyBorder="1" applyAlignment="1">
      <alignment horizontal="center" vertical="center"/>
    </xf>
    <xf numFmtId="3" fontId="40" fillId="0" borderId="43" xfId="0" applyNumberFormat="1" applyFont="1" applyBorder="1" applyAlignment="1">
      <alignment horizontal="center" vertical="center"/>
    </xf>
    <xf numFmtId="0" fontId="22" fillId="0" borderId="40" xfId="0" applyFont="1" applyBorder="1" applyAlignment="1">
      <alignment horizontal="center" vertical="center"/>
    </xf>
    <xf numFmtId="167" fontId="40" fillId="0" borderId="43" xfId="0" applyNumberFormat="1" applyFont="1" applyBorder="1" applyAlignment="1">
      <alignment horizontal="center" vertical="center"/>
    </xf>
    <xf numFmtId="0" fontId="23" fillId="0" borderId="36" xfId="0" applyFont="1" applyBorder="1" applyAlignment="1">
      <alignment vertical="center"/>
    </xf>
    <xf numFmtId="0" fontId="23" fillId="0" borderId="39" xfId="0" applyFont="1" applyBorder="1" applyAlignment="1">
      <alignment vertical="center"/>
    </xf>
    <xf numFmtId="0" fontId="23" fillId="0" borderId="40" xfId="0" applyFont="1" applyBorder="1" applyAlignment="1">
      <alignment vertical="center"/>
    </xf>
    <xf numFmtId="0" fontId="22" fillId="0" borderId="68" xfId="0" applyFont="1" applyBorder="1" applyAlignment="1">
      <alignment horizontal="center" vertical="center" wrapText="1"/>
    </xf>
    <xf numFmtId="0" fontId="22" fillId="0" borderId="34" xfId="0" applyFont="1" applyBorder="1" applyAlignment="1">
      <alignment horizontal="center" vertical="center" wrapText="1"/>
    </xf>
    <xf numFmtId="0" fontId="40" fillId="0" borderId="21" xfId="0" applyFont="1" applyBorder="1" applyAlignment="1">
      <alignment horizontal="center" vertical="center" wrapText="1"/>
    </xf>
    <xf numFmtId="0" fontId="40" fillId="0" borderId="55" xfId="0" applyFont="1" applyBorder="1" applyAlignment="1">
      <alignment horizontal="center" vertical="center" wrapText="1"/>
    </xf>
    <xf numFmtId="0" fontId="26" fillId="0" borderId="23" xfId="0" applyFont="1" applyFill="1" applyBorder="1" applyAlignment="1">
      <alignment horizontal="left" vertical="center" wrapText="1"/>
    </xf>
    <xf numFmtId="0" fontId="26" fillId="0" borderId="54" xfId="0" applyFont="1" applyFill="1" applyBorder="1" applyAlignment="1">
      <alignment horizontal="left" vertical="center" wrapText="1"/>
    </xf>
    <xf numFmtId="0" fontId="40" fillId="0" borderId="24" xfId="0" applyFont="1" applyFill="1" applyBorder="1" applyAlignment="1">
      <alignment horizontal="center" vertical="center" wrapText="1"/>
    </xf>
    <xf numFmtId="0" fontId="22" fillId="0" borderId="65" xfId="0" applyFont="1" applyBorder="1" applyAlignment="1">
      <alignment horizontal="center" vertical="center"/>
    </xf>
    <xf numFmtId="0" fontId="22" fillId="0" borderId="22" xfId="0" applyFont="1" applyBorder="1" applyAlignment="1">
      <alignment horizontal="center" vertical="center"/>
    </xf>
    <xf numFmtId="0" fontId="22" fillId="0" borderId="66" xfId="0" applyFont="1" applyBorder="1" applyAlignment="1">
      <alignment horizontal="center" vertical="center"/>
    </xf>
    <xf numFmtId="0" fontId="25" fillId="0" borderId="40" xfId="0" applyFont="1" applyBorder="1" applyAlignment="1">
      <alignment horizontal="center" vertical="center"/>
    </xf>
    <xf numFmtId="0" fontId="25" fillId="0" borderId="50" xfId="0" applyFont="1" applyBorder="1" applyAlignment="1">
      <alignment horizontal="center" vertical="center"/>
    </xf>
    <xf numFmtId="168" fontId="40" fillId="0" borderId="40" xfId="0" applyNumberFormat="1" applyFont="1" applyBorder="1" applyAlignment="1">
      <alignment horizontal="right" vertical="center"/>
    </xf>
    <xf numFmtId="168" fontId="40" fillId="0" borderId="50" xfId="0" applyNumberFormat="1" applyFont="1" applyBorder="1" applyAlignment="1">
      <alignment horizontal="right" vertical="center"/>
    </xf>
    <xf numFmtId="0" fontId="40" fillId="0" borderId="40" xfId="0" applyFont="1" applyBorder="1" applyAlignment="1">
      <alignment horizontal="center" vertical="center"/>
    </xf>
    <xf numFmtId="0" fontId="40" fillId="0" borderId="50" xfId="0" applyFont="1" applyBorder="1" applyAlignment="1">
      <alignment horizontal="center" vertical="center"/>
    </xf>
    <xf numFmtId="0" fontId="16" fillId="42" borderId="46" xfId="0" applyFont="1" applyFill="1" applyBorder="1" applyAlignment="1">
      <alignment horizontal="center"/>
    </xf>
    <xf numFmtId="0" fontId="16" fillId="42" borderId="47" xfId="0" applyFont="1" applyFill="1" applyBorder="1" applyAlignment="1">
      <alignment horizontal="center"/>
    </xf>
    <xf numFmtId="0" fontId="16" fillId="42" borderId="48" xfId="0" applyFont="1" applyFill="1" applyBorder="1" applyAlignment="1">
      <alignment horizontal="center"/>
    </xf>
    <xf numFmtId="0" fontId="29" fillId="0" borderId="0" xfId="0" applyFont="1" applyAlignment="1">
      <alignment horizontal="center"/>
    </xf>
    <xf numFmtId="0" fontId="19" fillId="36" borderId="40" xfId="0" applyFont="1" applyFill="1" applyBorder="1" applyAlignment="1">
      <alignment horizontal="center" vertical="center"/>
    </xf>
    <xf numFmtId="0" fontId="29" fillId="0" borderId="0" xfId="0" applyFont="1" applyBorder="1" applyAlignment="1">
      <alignment horizontal="center"/>
    </xf>
    <xf numFmtId="0" fontId="35" fillId="0" borderId="0" xfId="42" applyFont="1" applyBorder="1" applyAlignment="1">
      <alignment horizontal="center" vertical="top"/>
    </xf>
    <xf numFmtId="0" fontId="20" fillId="0" borderId="18" xfId="42" applyFont="1" applyBorder="1" applyAlignment="1">
      <alignment horizontal="center" vertical="top"/>
    </xf>
    <xf numFmtId="0" fontId="20" fillId="0" borderId="19" xfId="42" applyFont="1" applyBorder="1" applyAlignment="1">
      <alignment horizontal="center" vertical="top"/>
    </xf>
    <xf numFmtId="0" fontId="20" fillId="0" borderId="27" xfId="42" applyFont="1" applyBorder="1" applyAlignment="1">
      <alignment horizontal="center" vertical="top"/>
    </xf>
    <xf numFmtId="0" fontId="20" fillId="0" borderId="52" xfId="42" applyFont="1" applyBorder="1" applyAlignment="1">
      <alignment horizontal="center" vertical="top"/>
    </xf>
    <xf numFmtId="0" fontId="20" fillId="0" borderId="0" xfId="42" applyFont="1" applyBorder="1" applyAlignment="1">
      <alignment horizontal="center" vertical="top"/>
    </xf>
    <xf numFmtId="0" fontId="20" fillId="0" borderId="33" xfId="42" applyFont="1" applyBorder="1" applyAlignment="1">
      <alignment horizontal="center" vertical="top"/>
    </xf>
    <xf numFmtId="0" fontId="20" fillId="0" borderId="25" xfId="42" applyFont="1" applyBorder="1" applyAlignment="1">
      <alignment horizontal="center" vertical="top"/>
    </xf>
    <xf numFmtId="0" fontId="20" fillId="0" borderId="28" xfId="42" applyFont="1" applyBorder="1" applyAlignment="1">
      <alignment horizontal="center" vertical="top"/>
    </xf>
    <xf numFmtId="0" fontId="20" fillId="0" borderId="26" xfId="42" applyFont="1" applyBorder="1" applyAlignment="1">
      <alignment horizontal="center" vertical="top"/>
    </xf>
    <xf numFmtId="0" fontId="35" fillId="0" borderId="24" xfId="42" applyFont="1" applyBorder="1" applyAlignment="1">
      <alignment horizontal="center" vertical="top"/>
    </xf>
  </cellXfs>
  <cellStyles count="44">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Millares 2" xfId="43" xr:uid="{00000000-0005-0000-0000-00001F000000}"/>
    <cellStyle name="Neutral" xfId="8" builtinId="28" customBuiltin="1"/>
    <cellStyle name="Normal" xfId="0" builtinId="0"/>
    <cellStyle name="Normal 2" xfId="42" xr:uid="{00000000-0005-0000-0000-00002200000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9" defaultPivotStyle="PivotStyleLight16"/>
  <colors>
    <mruColors>
      <color rgb="FFCC00FF"/>
      <color rgb="FF00CC00"/>
      <color rgb="FF0000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498616726963196E-2"/>
          <c:y val="5.0925925925925923E-2"/>
          <c:w val="0.84768012106594759"/>
          <c:h val="0.77844123651210417"/>
        </c:manualLayout>
      </c:layout>
      <c:scatterChart>
        <c:scatterStyle val="smoothMarker"/>
        <c:varyColors val="0"/>
        <c:ser>
          <c:idx val="0"/>
          <c:order val="0"/>
          <c:spPr>
            <a:ln w="38100">
              <a:solidFill>
                <a:srgbClr val="0000CC"/>
              </a:solidFill>
            </a:ln>
            <a:effectLst>
              <a:outerShdw blurRad="50800" dist="50800" dir="5400000" algn="ctr" rotWithShape="0">
                <a:schemeClr val="bg1">
                  <a:lumMod val="65000"/>
                </a:schemeClr>
              </a:outerShdw>
            </a:effectLst>
          </c:spPr>
          <c:marker>
            <c:symbol val="none"/>
          </c:marker>
          <c:xVal>
            <c:numRef>
              <c:f>'Plantilla Dt. Sht.'!$P$52:$P$151</c:f>
              <c:numCache>
                <c:formatCode>0.0</c:formatCode>
                <c:ptCount val="100"/>
                <c:pt idx="0">
                  <c:v>944.35</c:v>
                </c:pt>
                <c:pt idx="1">
                  <c:v>1888.7</c:v>
                </c:pt>
                <c:pt idx="2">
                  <c:v>2833.05</c:v>
                </c:pt>
                <c:pt idx="3">
                  <c:v>3777.4</c:v>
                </c:pt>
                <c:pt idx="4">
                  <c:v>4721.75</c:v>
                </c:pt>
                <c:pt idx="5">
                  <c:v>5666.1</c:v>
                </c:pt>
                <c:pt idx="6">
                  <c:v>6610.4500000000007</c:v>
                </c:pt>
                <c:pt idx="7">
                  <c:v>7554.8000000000011</c:v>
                </c:pt>
                <c:pt idx="8">
                  <c:v>8499.1500000000015</c:v>
                </c:pt>
                <c:pt idx="9">
                  <c:v>9443.5000000000018</c:v>
                </c:pt>
                <c:pt idx="10">
                  <c:v>10387.850000000002</c:v>
                </c:pt>
                <c:pt idx="11">
                  <c:v>11332.200000000003</c:v>
                </c:pt>
                <c:pt idx="12">
                  <c:v>12276.550000000003</c:v>
                </c:pt>
                <c:pt idx="13">
                  <c:v>13220.900000000003</c:v>
                </c:pt>
                <c:pt idx="14">
                  <c:v>14165.250000000004</c:v>
                </c:pt>
                <c:pt idx="15">
                  <c:v>15109.600000000004</c:v>
                </c:pt>
                <c:pt idx="16">
                  <c:v>16053.950000000004</c:v>
                </c:pt>
                <c:pt idx="17">
                  <c:v>16998.300000000003</c:v>
                </c:pt>
                <c:pt idx="18">
                  <c:v>17942.650000000001</c:v>
                </c:pt>
                <c:pt idx="19">
                  <c:v>18887</c:v>
                </c:pt>
                <c:pt idx="20">
                  <c:v>19831.349999999999</c:v>
                </c:pt>
                <c:pt idx="21">
                  <c:v>20775.699999999997</c:v>
                </c:pt>
                <c:pt idx="22">
                  <c:v>21720.049999999996</c:v>
                </c:pt>
                <c:pt idx="23">
                  <c:v>22664.399999999994</c:v>
                </c:pt>
                <c:pt idx="24">
                  <c:v>23608.749999999993</c:v>
                </c:pt>
                <c:pt idx="25">
                  <c:v>24553.099999999991</c:v>
                </c:pt>
                <c:pt idx="26">
                  <c:v>25497.44999999999</c:v>
                </c:pt>
                <c:pt idx="27">
                  <c:v>26441.799999999988</c:v>
                </c:pt>
                <c:pt idx="28">
                  <c:v>27386.149999999987</c:v>
                </c:pt>
                <c:pt idx="29">
                  <c:v>28330.499999999985</c:v>
                </c:pt>
                <c:pt idx="30">
                  <c:v>29274.849999999984</c:v>
                </c:pt>
                <c:pt idx="31">
                  <c:v>30219.199999999983</c:v>
                </c:pt>
                <c:pt idx="32">
                  <c:v>31163.549999999981</c:v>
                </c:pt>
                <c:pt idx="33">
                  <c:v>32107.89999999998</c:v>
                </c:pt>
                <c:pt idx="34">
                  <c:v>33052.249999999978</c:v>
                </c:pt>
                <c:pt idx="35">
                  <c:v>33996.599999999977</c:v>
                </c:pt>
                <c:pt idx="36">
                  <c:v>34940.949999999975</c:v>
                </c:pt>
                <c:pt idx="37">
                  <c:v>35885.299999999974</c:v>
                </c:pt>
                <c:pt idx="38">
                  <c:v>36829.649999999972</c:v>
                </c:pt>
                <c:pt idx="39">
                  <c:v>37773.999999999971</c:v>
                </c:pt>
                <c:pt idx="40">
                  <c:v>38718.349999999969</c:v>
                </c:pt>
                <c:pt idx="41">
                  <c:v>39662.699999999968</c:v>
                </c:pt>
                <c:pt idx="42">
                  <c:v>40607.049999999967</c:v>
                </c:pt>
                <c:pt idx="43">
                  <c:v>41551.399999999965</c:v>
                </c:pt>
                <c:pt idx="44">
                  <c:v>42495.749999999964</c:v>
                </c:pt>
                <c:pt idx="45">
                  <c:v>43440.099999999962</c:v>
                </c:pt>
                <c:pt idx="46">
                  <c:v>44384.449999999961</c:v>
                </c:pt>
                <c:pt idx="47">
                  <c:v>45328.799999999959</c:v>
                </c:pt>
                <c:pt idx="48">
                  <c:v>46273.149999999958</c:v>
                </c:pt>
                <c:pt idx="49">
                  <c:v>47217.499999999956</c:v>
                </c:pt>
                <c:pt idx="50">
                  <c:v>48161.849999999955</c:v>
                </c:pt>
                <c:pt idx="51">
                  <c:v>49106.199999999953</c:v>
                </c:pt>
                <c:pt idx="52">
                  <c:v>50050.549999999952</c:v>
                </c:pt>
                <c:pt idx="53">
                  <c:v>50994.899999999951</c:v>
                </c:pt>
                <c:pt idx="54">
                  <c:v>51939.249999999949</c:v>
                </c:pt>
                <c:pt idx="55">
                  <c:v>52883.599999999948</c:v>
                </c:pt>
                <c:pt idx="56">
                  <c:v>53827.949999999946</c:v>
                </c:pt>
                <c:pt idx="57">
                  <c:v>54772.299999999945</c:v>
                </c:pt>
                <c:pt idx="58">
                  <c:v>55716.649999999943</c:v>
                </c:pt>
                <c:pt idx="59">
                  <c:v>56660.999999999942</c:v>
                </c:pt>
                <c:pt idx="60">
                  <c:v>57605.34999999994</c:v>
                </c:pt>
                <c:pt idx="61">
                  <c:v>58549.699999999939</c:v>
                </c:pt>
                <c:pt idx="62">
                  <c:v>59494.049999999937</c:v>
                </c:pt>
                <c:pt idx="63">
                  <c:v>60438.399999999936</c:v>
                </c:pt>
                <c:pt idx="64">
                  <c:v>61382.749999999935</c:v>
                </c:pt>
                <c:pt idx="65">
                  <c:v>62327.099999999933</c:v>
                </c:pt>
                <c:pt idx="66">
                  <c:v>63271.449999999932</c:v>
                </c:pt>
                <c:pt idx="67">
                  <c:v>64215.79999999993</c:v>
                </c:pt>
                <c:pt idx="68">
                  <c:v>65160.149999999929</c:v>
                </c:pt>
                <c:pt idx="69">
                  <c:v>66104.499999999927</c:v>
                </c:pt>
                <c:pt idx="70">
                  <c:v>67048.849999999933</c:v>
                </c:pt>
                <c:pt idx="71">
                  <c:v>67993.199999999939</c:v>
                </c:pt>
                <c:pt idx="72">
                  <c:v>68937.549999999945</c:v>
                </c:pt>
                <c:pt idx="73">
                  <c:v>69881.899999999951</c:v>
                </c:pt>
                <c:pt idx="74">
                  <c:v>70826.249999999956</c:v>
                </c:pt>
                <c:pt idx="75">
                  <c:v>71770.599999999962</c:v>
                </c:pt>
                <c:pt idx="76">
                  <c:v>72714.949999999968</c:v>
                </c:pt>
                <c:pt idx="77">
                  <c:v>73659.299999999974</c:v>
                </c:pt>
                <c:pt idx="78">
                  <c:v>74603.64999999998</c:v>
                </c:pt>
                <c:pt idx="79">
                  <c:v>75547.999999999985</c:v>
                </c:pt>
                <c:pt idx="80">
                  <c:v>76492.349999999991</c:v>
                </c:pt>
                <c:pt idx="81">
                  <c:v>77436.7</c:v>
                </c:pt>
                <c:pt idx="82">
                  <c:v>78381.05</c:v>
                </c:pt>
                <c:pt idx="83">
                  <c:v>79325.400000000009</c:v>
                </c:pt>
                <c:pt idx="84">
                  <c:v>80269.750000000015</c:v>
                </c:pt>
                <c:pt idx="85">
                  <c:v>81214.10000000002</c:v>
                </c:pt>
                <c:pt idx="86">
                  <c:v>82158.450000000026</c:v>
                </c:pt>
                <c:pt idx="87">
                  <c:v>83102.800000000032</c:v>
                </c:pt>
                <c:pt idx="88">
                  <c:v>84047.150000000038</c:v>
                </c:pt>
                <c:pt idx="89">
                  <c:v>84991.500000000044</c:v>
                </c:pt>
                <c:pt idx="90">
                  <c:v>85935.850000000049</c:v>
                </c:pt>
                <c:pt idx="91">
                  <c:v>86880.200000000055</c:v>
                </c:pt>
                <c:pt idx="92">
                  <c:v>87824.550000000061</c:v>
                </c:pt>
                <c:pt idx="93">
                  <c:v>88768.900000000067</c:v>
                </c:pt>
                <c:pt idx="94">
                  <c:v>89713.250000000073</c:v>
                </c:pt>
                <c:pt idx="95">
                  <c:v>90657.600000000079</c:v>
                </c:pt>
                <c:pt idx="96">
                  <c:v>91601.950000000084</c:v>
                </c:pt>
                <c:pt idx="97">
                  <c:v>92546.30000000009</c:v>
                </c:pt>
                <c:pt idx="98">
                  <c:v>93490.650000000096</c:v>
                </c:pt>
                <c:pt idx="99">
                  <c:v>94435.000000000102</c:v>
                </c:pt>
              </c:numCache>
            </c:numRef>
          </c:xVal>
          <c:yVal>
            <c:numRef>
              <c:f>'Plantilla Dt. Sht.'!$Q$52:$Q$151</c:f>
              <c:numCache>
                <c:formatCode>General</c:formatCode>
                <c:ptCount val="100"/>
                <c:pt idx="0">
                  <c:v>8.3483227524810719E-8</c:v>
                </c:pt>
                <c:pt idx="1">
                  <c:v>4.0819198621870137E-7</c:v>
                </c:pt>
                <c:pt idx="2">
                  <c:v>9.9516971951100372E-7</c:v>
                </c:pt>
                <c:pt idx="3">
                  <c:v>1.8246918050424102E-6</c:v>
                </c:pt>
                <c:pt idx="4">
                  <c:v>2.8620625129001598E-6</c:v>
                </c:pt>
                <c:pt idx="5">
                  <c:v>4.0670733443205768E-6</c:v>
                </c:pt>
                <c:pt idx="6">
                  <c:v>5.3986998063943362E-6</c:v>
                </c:pt>
                <c:pt idx="7">
                  <c:v>6.8176417577844071E-6</c:v>
                </c:pt>
                <c:pt idx="8">
                  <c:v>8.2877051377088977E-6</c:v>
                </c:pt>
                <c:pt idx="9">
                  <c:v>9.776503828101429E-6</c:v>
                </c:pt>
                <c:pt idx="10">
                  <c:v>1.1255743627028639E-5</c:v>
                </c:pt>
                <c:pt idx="11">
                  <c:v>1.270124424850289E-5</c:v>
                </c:pt>
                <c:pt idx="12">
                  <c:v>1.4092797434170713E-5</c:v>
                </c:pt>
                <c:pt idx="13">
                  <c:v>1.5413925180531351E-5</c:v>
                </c:pt>
                <c:pt idx="14">
                  <c:v>1.6651580814619711E-5</c:v>
                </c:pt>
                <c:pt idx="15">
                  <c:v>1.7795821797298063E-5</c:v>
                </c:pt>
                <c:pt idx="16">
                  <c:v>1.8839473819393911E-5</c:v>
                </c:pt>
                <c:pt idx="17">
                  <c:v>1.9777799346967944E-5</c:v>
                </c:pt>
                <c:pt idx="18">
                  <c:v>2.0608179289081309E-5</c:v>
                </c:pt>
                <c:pt idx="19">
                  <c:v>2.132981329235416E-5</c:v>
                </c:pt>
                <c:pt idx="20">
                  <c:v>2.1943441914271727E-5</c:v>
                </c:pt>
                <c:pt idx="21">
                  <c:v>2.2451092325998286E-5</c:v>
                </c:pt>
                <c:pt idx="22">
                  <c:v>2.2855848063115705E-5</c:v>
                </c:pt>
                <c:pt idx="23">
                  <c:v>2.31616425513631E-5</c:v>
                </c:pt>
                <c:pt idx="24">
                  <c:v>2.337307559282088E-5</c:v>
                </c:pt>
                <c:pt idx="25">
                  <c:v>2.3495251639883248E-5</c:v>
                </c:pt>
                <c:pt idx="26">
                  <c:v>2.3533638461242835E-5</c:v>
                </c:pt>
                <c:pt idx="27">
                  <c:v>2.3493944680004619E-5</c:v>
                </c:pt>
                <c:pt idx="28">
                  <c:v>2.3382014612104089E-5</c:v>
                </c:pt>
                <c:pt idx="29">
                  <c:v>2.3203738833284427E-5</c:v>
                </c:pt>
                <c:pt idx="30">
                  <c:v>2.296497893982146E-5</c:v>
                </c:pt>
                <c:pt idx="31">
                  <c:v>2.2671505030537711E-5</c:v>
                </c:pt>
                <c:pt idx="32">
                  <c:v>2.2328944516804765E-5</c:v>
                </c:pt>
                <c:pt idx="33">
                  <c:v>2.1942740956723167E-5</c:v>
                </c:pt>
                <c:pt idx="34">
                  <c:v>2.1518121704659039E-5</c:v>
                </c:pt>
                <c:pt idx="35">
                  <c:v>2.1060073264227613E-5</c:v>
                </c:pt>
                <c:pt idx="36">
                  <c:v>2.0573323329030424E-5</c:v>
                </c:pt>
                <c:pt idx="37">
                  <c:v>2.0062328589102473E-5</c:v>
                </c:pt>
                <c:pt idx="38">
                  <c:v>1.9531267470801004E-5</c:v>
                </c:pt>
                <c:pt idx="39">
                  <c:v>1.8984037062899651E-5</c:v>
                </c:pt>
                <c:pt idx="40">
                  <c:v>1.8424253561401807E-5</c:v>
                </c:pt>
                <c:pt idx="41">
                  <c:v>1.7855255639768456E-5</c:v>
                </c:pt>
                <c:pt idx="42">
                  <c:v>1.7280110219769893E-5</c:v>
                </c:pt>
                <c:pt idx="43">
                  <c:v>1.6701620181059189E-5</c:v>
                </c:pt>
                <c:pt idx="44">
                  <c:v>1.6122333604970691E-5</c:v>
                </c:pt>
                <c:pt idx="45">
                  <c:v>1.5544554200183245E-5</c:v>
                </c:pt>
                <c:pt idx="46">
                  <c:v>1.4970352605018629E-5</c:v>
                </c:pt>
                <c:pt idx="47">
                  <c:v>1.4401578303564431E-5</c:v>
                </c:pt>
                <c:pt idx="48">
                  <c:v>1.3839871930828626E-5</c:v>
                </c:pt>
                <c:pt idx="49">
                  <c:v>1.3286677776067966E-5</c:v>
                </c:pt>
                <c:pt idx="50">
                  <c:v>1.2743256323601414E-5</c:v>
                </c:pt>
                <c:pt idx="51">
                  <c:v>1.2210696697133417E-5</c:v>
                </c:pt>
                <c:pt idx="52">
                  <c:v>1.1689928897169283E-5</c:v>
                </c:pt>
                <c:pt idx="53">
                  <c:v>1.1181735741792869E-5</c:v>
                </c:pt>
                <c:pt idx="54">
                  <c:v>1.0686764439164649E-5</c:v>
                </c:pt>
                <c:pt idx="55">
                  <c:v>1.02055377358411E-5</c:v>
                </c:pt>
                <c:pt idx="56">
                  <c:v>9.738464598649563E-6</c:v>
                </c:pt>
                <c:pt idx="57">
                  <c:v>9.2858503995967005E-6</c:v>
                </c:pt>
                <c:pt idx="58">
                  <c:v>8.8479065833448757E-6</c:v>
                </c:pt>
                <c:pt idx="59">
                  <c:v>8.4247598053454149E-6</c:v>
                </c:pt>
                <c:pt idx="60">
                  <c:v>8.0164605359403522E-6</c:v>
                </c:pt>
                <c:pt idx="61">
                  <c:v>7.6229911317896505E-6</c:v>
                </c:pt>
                <c:pt idx="62">
                  <c:v>7.2442733809894224E-6</c:v>
                </c:pt>
                <c:pt idx="63">
                  <c:v>6.8801755323452027E-6</c:v>
                </c:pt>
                <c:pt idx="64">
                  <c:v>6.5305188225677961E-6</c:v>
                </c:pt>
                <c:pt idx="65">
                  <c:v>6.1950835177699864E-6</c:v>
                </c:pt>
                <c:pt idx="66">
                  <c:v>5.8736144876533069E-6</c:v>
                </c:pt>
                <c:pt idx="67">
                  <c:v>5.5658263322674815E-6</c:v>
                </c:pt>
                <c:pt idx="68">
                  <c:v>5.271408082274378E-6</c:v>
                </c:pt>
                <c:pt idx="69">
                  <c:v>4.990027494318872E-6</c:v>
                </c:pt>
                <c:pt idx="70">
                  <c:v>4.7213349634590096E-6</c:v>
                </c:pt>
                <c:pt idx="71">
                  <c:v>4.4649670746878655E-6</c:v>
                </c:pt>
                <c:pt idx="72">
                  <c:v>4.2205498154350408E-6</c:v>
                </c:pt>
                <c:pt idx="73">
                  <c:v>3.9877014706060991E-6</c:v>
                </c:pt>
                <c:pt idx="74">
                  <c:v>3.7660352212380232E-6</c:v>
                </c:pt>
                <c:pt idx="75">
                  <c:v>3.5551614672479739E-6</c:v>
                </c:pt>
                <c:pt idx="76">
                  <c:v>3.3546898940574879E-6</c:v>
                </c:pt>
                <c:pt idx="77">
                  <c:v>3.164231302107499E-6</c:v>
                </c:pt>
                <c:pt idx="78">
                  <c:v>2.9833992174599818E-6</c:v>
                </c:pt>
                <c:pt idx="79">
                  <c:v>2.8118113008271156E-6</c:v>
                </c:pt>
                <c:pt idx="80">
                  <c:v>2.6490905714919025E-6</c:v>
                </c:pt>
                <c:pt idx="81">
                  <c:v>2.4948664616976704E-6</c:v>
                </c:pt>
                <c:pt idx="82">
                  <c:v>2.3487757161974119E-6</c:v>
                </c:pt>
                <c:pt idx="83">
                  <c:v>2.2104631507761208E-6</c:v>
                </c:pt>
                <c:pt idx="84">
                  <c:v>2.0795822826965447E-6</c:v>
                </c:pt>
                <c:pt idx="85">
                  <c:v>1.9557958451770121E-6</c:v>
                </c:pt>
                <c:pt idx="86">
                  <c:v>1.8387761971932872E-6</c:v>
                </c:pt>
                <c:pt idx="87">
                  <c:v>1.7282056391082113E-6</c:v>
                </c:pt>
                <c:pt idx="88">
                  <c:v>1.6237766438758957E-6</c:v>
                </c:pt>
                <c:pt idx="89">
                  <c:v>1.5251920128430858E-6</c:v>
                </c:pt>
                <c:pt idx="90">
                  <c:v>1.4321649644803426E-6</c:v>
                </c:pt>
                <c:pt idx="91">
                  <c:v>1.3444191637205626E-6</c:v>
                </c:pt>
                <c:pt idx="92">
                  <c:v>1.2616886989623419E-6</c:v>
                </c:pt>
                <c:pt idx="93">
                  <c:v>1.1837180132105982E-6</c:v>
                </c:pt>
                <c:pt idx="94">
                  <c:v>1.110261795276455E-6</c:v>
                </c:pt>
                <c:pt idx="95">
                  <c:v>1.0410848364417329E-6</c:v>
                </c:pt>
                <c:pt idx="96">
                  <c:v>9.7596185750992789E-7</c:v>
                </c:pt>
                <c:pt idx="97">
                  <c:v>9.1467731071401539E-7</c:v>
                </c:pt>
                <c:pt idx="98">
                  <c:v>8.5702516053076822E-7</c:v>
                </c:pt>
                <c:pt idx="99">
                  <c:v>8.0280864706028989E-7</c:v>
                </c:pt>
              </c:numCache>
            </c:numRef>
          </c:yVal>
          <c:smooth val="1"/>
          <c:extLst>
            <c:ext xmlns:c16="http://schemas.microsoft.com/office/drawing/2014/chart" uri="{C3380CC4-5D6E-409C-BE32-E72D297353CC}">
              <c16:uniqueId val="{00000000-FEDF-451E-87B1-34E4B82BCE6B}"/>
            </c:ext>
          </c:extLst>
        </c:ser>
        <c:ser>
          <c:idx val="1"/>
          <c:order val="1"/>
          <c:tx>
            <c:v>5%</c:v>
          </c:tx>
          <c:spPr>
            <a:ln w="25400">
              <a:solidFill>
                <a:srgbClr val="FF0000">
                  <a:alpha val="50000"/>
                </a:srgbClr>
              </a:solidFill>
            </a:ln>
            <a:effectLst>
              <a:outerShdw blurRad="50800" dist="50800" dir="5400000" algn="ctr" rotWithShape="0">
                <a:prstClr val="white">
                  <a:lumMod val="65000"/>
                </a:prst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FEDF-451E-87B1-34E4B82BCE6B}"/>
                </c:ext>
              </c:extLst>
            </c:dLbl>
            <c:spPr>
              <a:noFill/>
              <a:ln>
                <a:noFill/>
              </a:ln>
              <a:effectLst/>
            </c:spPr>
            <c:txPr>
              <a:bodyPr/>
              <a:lstStyle/>
              <a:p>
                <a:pPr>
                  <a:defRPr sz="1100" b="1"/>
                </a:pPr>
                <a:endParaRPr lang="es-MX"/>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'Plantilla Dt. Sht.'!$P$41:$P$42</c:f>
              <c:numCache>
                <c:formatCode>#,##0.0</c:formatCode>
                <c:ptCount val="2"/>
                <c:pt idx="0">
                  <c:v>10959.91595458711</c:v>
                </c:pt>
                <c:pt idx="1">
                  <c:v>10959.91595458711</c:v>
                </c:pt>
              </c:numCache>
            </c:numRef>
          </c:xVal>
          <c:yVal>
            <c:numRef>
              <c:f>'Plantilla Dt. Sht.'!$Q$41:$Q$42</c:f>
              <c:numCache>
                <c:formatCode>General</c:formatCode>
                <c:ptCount val="2"/>
                <c:pt idx="0">
                  <c:v>0</c:v>
                </c:pt>
                <c:pt idx="1">
                  <c:v>2.4004311230467694E-5</c:v>
                </c:pt>
              </c:numCache>
            </c:numRef>
          </c:yVal>
          <c:smooth val="0"/>
          <c:extLst>
            <c:ext xmlns:c16="http://schemas.microsoft.com/office/drawing/2014/chart" uri="{C3380CC4-5D6E-409C-BE32-E72D297353CC}">
              <c16:uniqueId val="{00000002-FEDF-451E-87B1-34E4B82BCE6B}"/>
            </c:ext>
          </c:extLst>
        </c:ser>
        <c:ser>
          <c:idx val="2"/>
          <c:order val="2"/>
          <c:tx>
            <c:v>50%</c:v>
          </c:tx>
          <c:spPr>
            <a:ln w="25400">
              <a:solidFill>
                <a:srgbClr val="FF0000">
                  <a:alpha val="50000"/>
                </a:srgbClr>
              </a:solidFill>
            </a:ln>
            <a:effectLst>
              <a:outerShdw blurRad="50800" dist="50800" dir="5400000" algn="ctr" rotWithShape="0">
                <a:schemeClr val="bg1">
                  <a:lumMod val="75000"/>
                </a:scheme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FEDF-451E-87B1-34E4B82BCE6B}"/>
                </c:ext>
              </c:extLst>
            </c:dLbl>
            <c:spPr>
              <a:noFill/>
              <a:ln>
                <a:noFill/>
              </a:ln>
              <a:effectLst/>
            </c:spPr>
            <c:txPr>
              <a:bodyPr/>
              <a:lstStyle/>
              <a:p>
                <a:pPr>
                  <a:defRPr sz="1100" b="1"/>
                </a:pPr>
                <a:endParaRPr lang="es-MX"/>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'Plantilla Dt. Sht.'!$P$43:$P$44</c:f>
              <c:numCache>
                <c:formatCode>#,##0.0</c:formatCode>
                <c:ptCount val="2"/>
                <c:pt idx="0">
                  <c:v>36010.082823190496</c:v>
                </c:pt>
                <c:pt idx="1">
                  <c:v>36010.082823190496</c:v>
                </c:pt>
              </c:numCache>
            </c:numRef>
          </c:xVal>
          <c:yVal>
            <c:numRef>
              <c:f>'Plantilla Dt. Sht.'!$Q$43:$Q$44</c:f>
              <c:numCache>
                <c:formatCode>General</c:formatCode>
                <c:ptCount val="2"/>
                <c:pt idx="0">
                  <c:v>0</c:v>
                </c:pt>
                <c:pt idx="1">
                  <c:v>2.4004311230467694E-5</c:v>
                </c:pt>
              </c:numCache>
            </c:numRef>
          </c:yVal>
          <c:smooth val="1"/>
          <c:extLst>
            <c:ext xmlns:c16="http://schemas.microsoft.com/office/drawing/2014/chart" uri="{C3380CC4-5D6E-409C-BE32-E72D297353CC}">
              <c16:uniqueId val="{00000004-FEDF-451E-87B1-34E4B82BCE6B}"/>
            </c:ext>
          </c:extLst>
        </c:ser>
        <c:ser>
          <c:idx val="3"/>
          <c:order val="3"/>
          <c:tx>
            <c:v>95%</c:v>
          </c:tx>
          <c:spPr>
            <a:ln w="25400">
              <a:solidFill>
                <a:srgbClr val="FF0000">
                  <a:alpha val="50000"/>
                </a:srgbClr>
              </a:solidFill>
            </a:ln>
            <a:effectLst>
              <a:outerShdw blurRad="50800" dist="50800" dir="5400000" algn="ctr" rotWithShape="0">
                <a:schemeClr val="bg1">
                  <a:lumMod val="75000"/>
                </a:scheme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FEDF-451E-87B1-34E4B82BCE6B}"/>
                </c:ext>
              </c:extLst>
            </c:dLbl>
            <c:spPr>
              <a:noFill/>
              <a:ln>
                <a:noFill/>
              </a:ln>
              <a:effectLst/>
            </c:spPr>
            <c:txPr>
              <a:bodyPr/>
              <a:lstStyle/>
              <a:p>
                <a:pPr>
                  <a:defRPr sz="1100" b="1"/>
                </a:pPr>
                <a:endParaRPr lang="es-MX"/>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'Plantilla Dt. Sht.'!$P$45:$P$46</c:f>
              <c:numCache>
                <c:formatCode>#,##0.0</c:formatCode>
                <c:ptCount val="2"/>
                <c:pt idx="0">
                  <c:v>72820.889195304291</c:v>
                </c:pt>
                <c:pt idx="1">
                  <c:v>72820.889195304291</c:v>
                </c:pt>
              </c:numCache>
            </c:numRef>
          </c:xVal>
          <c:yVal>
            <c:numRef>
              <c:f>'Plantilla Dt. Sht.'!$Q$45:$Q$46</c:f>
              <c:numCache>
                <c:formatCode>General</c:formatCode>
                <c:ptCount val="2"/>
                <c:pt idx="0">
                  <c:v>0</c:v>
                </c:pt>
                <c:pt idx="1">
                  <c:v>2.4004311230467694E-5</c:v>
                </c:pt>
              </c:numCache>
            </c:numRef>
          </c:yVal>
          <c:smooth val="1"/>
          <c:extLst>
            <c:ext xmlns:c16="http://schemas.microsoft.com/office/drawing/2014/chart" uri="{C3380CC4-5D6E-409C-BE32-E72D297353CC}">
              <c16:uniqueId val="{00000006-FEDF-451E-87B1-34E4B82BCE6B}"/>
            </c:ext>
          </c:extLst>
        </c:ser>
        <c:dLbls>
          <c:showLegendKey val="0"/>
          <c:showVal val="0"/>
          <c:showCatName val="0"/>
          <c:showSerName val="0"/>
          <c:showPercent val="0"/>
          <c:showBubbleSize val="0"/>
        </c:dLbls>
        <c:axId val="124570240"/>
        <c:axId val="124595200"/>
      </c:scatterChart>
      <c:valAx>
        <c:axId val="124570240"/>
        <c:scaling>
          <c:orientation val="minMax"/>
        </c:scaling>
        <c:delete val="0"/>
        <c:axPos val="b"/>
        <c:title>
          <c:tx>
            <c:rich>
              <a:bodyPr/>
              <a:lstStyle/>
              <a:p>
                <a:pPr>
                  <a:defRPr sz="1100">
                    <a:latin typeface="Arial" pitchFamily="34" charset="0"/>
                    <a:cs typeface="Arial" pitchFamily="34" charset="0"/>
                  </a:defRPr>
                </a:pPr>
                <a:r>
                  <a:rPr lang="es-VE" sz="1100">
                    <a:latin typeface="Arial" pitchFamily="34" charset="0"/>
                    <a:cs typeface="Arial" pitchFamily="34" charset="0"/>
                  </a:rPr>
                  <a:t>Time [hrs]</a:t>
                </a:r>
              </a:p>
            </c:rich>
          </c:tx>
          <c:overlay val="0"/>
        </c:title>
        <c:numFmt formatCode="#,##0" sourceLinked="0"/>
        <c:majorTickMark val="out"/>
        <c:minorTickMark val="none"/>
        <c:tickLblPos val="nextTo"/>
        <c:spPr>
          <a:ln>
            <a:solidFill>
              <a:sysClr val="windowText" lastClr="000000"/>
            </a:solidFill>
          </a:ln>
        </c:spPr>
        <c:txPr>
          <a:bodyPr/>
          <a:lstStyle/>
          <a:p>
            <a:pPr>
              <a:defRPr sz="1100"/>
            </a:pPr>
            <a:endParaRPr lang="es-MX"/>
          </a:p>
        </c:txPr>
        <c:crossAx val="124595200"/>
        <c:crosses val="autoZero"/>
        <c:crossBetween val="midCat"/>
      </c:valAx>
      <c:valAx>
        <c:axId val="124595200"/>
        <c:scaling>
          <c:orientation val="minMax"/>
        </c:scaling>
        <c:delete val="1"/>
        <c:axPos val="l"/>
        <c:majorGridlines/>
        <c:title>
          <c:tx>
            <c:rich>
              <a:bodyPr rot="-5400000" vert="horz"/>
              <a:lstStyle/>
              <a:p>
                <a:pPr>
                  <a:defRPr sz="1200">
                    <a:latin typeface="Arial" pitchFamily="34" charset="0"/>
                    <a:cs typeface="Arial" pitchFamily="34" charset="0"/>
                  </a:defRPr>
                </a:pPr>
                <a:r>
                  <a:rPr lang="es-VE" sz="1200">
                    <a:latin typeface="Arial" pitchFamily="34" charset="0"/>
                    <a:cs typeface="Arial" pitchFamily="34" charset="0"/>
                  </a:rPr>
                  <a:t>Probability</a:t>
                </a:r>
              </a:p>
            </c:rich>
          </c:tx>
          <c:layout>
            <c:manualLayout>
              <c:xMode val="edge"/>
              <c:yMode val="edge"/>
              <c:x val="2.4024024024024031E-2"/>
              <c:y val="0.30304347470584914"/>
            </c:manualLayout>
          </c:layout>
          <c:overlay val="0"/>
        </c:title>
        <c:numFmt formatCode="0.00E+00" sourceLinked="0"/>
        <c:majorTickMark val="out"/>
        <c:minorTickMark val="none"/>
        <c:tickLblPos val="none"/>
        <c:crossAx val="124570240"/>
        <c:crosses val="autoZero"/>
        <c:crossBetween val="midCat"/>
      </c:valAx>
      <c:spPr>
        <a:noFill/>
        <a:ln>
          <a:solidFill>
            <a:schemeClr val="tx1"/>
          </a:solidFill>
        </a:ln>
      </c:spPr>
    </c:plotArea>
    <c:plotVisOnly val="1"/>
    <c:dispBlanksAs val="gap"/>
    <c:showDLblsOverMax val="0"/>
  </c:chart>
  <c:spPr>
    <a:ln>
      <a:solidFill>
        <a:sysClr val="windowText" lastClr="000000"/>
      </a:solidFill>
    </a:ln>
  </c:spPr>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3498616726963196E-2"/>
          <c:y val="5.0925925925925923E-2"/>
          <c:w val="0.84768012106594759"/>
          <c:h val="0.77844123651210451"/>
        </c:manualLayout>
      </c:layout>
      <c:scatterChart>
        <c:scatterStyle val="smoothMarker"/>
        <c:varyColors val="0"/>
        <c:ser>
          <c:idx val="0"/>
          <c:order val="0"/>
          <c:spPr>
            <a:ln w="38100">
              <a:solidFill>
                <a:srgbClr val="0000CC"/>
              </a:solidFill>
            </a:ln>
            <a:effectLst>
              <a:outerShdw blurRad="50800" dist="50800" dir="5400000" algn="ctr" rotWithShape="0">
                <a:schemeClr val="bg1">
                  <a:lumMod val="65000"/>
                </a:schemeClr>
              </a:outerShdw>
            </a:effectLst>
          </c:spPr>
          <c:marker>
            <c:symbol val="none"/>
          </c:marker>
          <c:xVal>
            <c:numRef>
              <c:f>'Plantilla Dt. Sht.'!$T$52:$T$151</c:f>
              <c:numCache>
                <c:formatCode>0.0</c:formatCode>
                <c:ptCount val="100"/>
                <c:pt idx="0">
                  <c:v>0.19</c:v>
                </c:pt>
                <c:pt idx="1">
                  <c:v>0.38</c:v>
                </c:pt>
                <c:pt idx="2">
                  <c:v>0.57000000000000006</c:v>
                </c:pt>
                <c:pt idx="3">
                  <c:v>0.76</c:v>
                </c:pt>
                <c:pt idx="4">
                  <c:v>0.95</c:v>
                </c:pt>
                <c:pt idx="5">
                  <c:v>1.1399999999999999</c:v>
                </c:pt>
                <c:pt idx="6">
                  <c:v>1.3299999999999998</c:v>
                </c:pt>
                <c:pt idx="7">
                  <c:v>1.5199999999999998</c:v>
                </c:pt>
                <c:pt idx="8">
                  <c:v>1.7099999999999997</c:v>
                </c:pt>
                <c:pt idx="9">
                  <c:v>1.8999999999999997</c:v>
                </c:pt>
                <c:pt idx="10">
                  <c:v>2.09</c:v>
                </c:pt>
                <c:pt idx="11">
                  <c:v>2.2799999999999998</c:v>
                </c:pt>
                <c:pt idx="12">
                  <c:v>2.4699999999999998</c:v>
                </c:pt>
                <c:pt idx="13">
                  <c:v>2.6599999999999997</c:v>
                </c:pt>
                <c:pt idx="14">
                  <c:v>2.8499999999999996</c:v>
                </c:pt>
                <c:pt idx="15">
                  <c:v>3.0399999999999996</c:v>
                </c:pt>
                <c:pt idx="16">
                  <c:v>3.2299999999999995</c:v>
                </c:pt>
                <c:pt idx="17">
                  <c:v>3.4199999999999995</c:v>
                </c:pt>
                <c:pt idx="18">
                  <c:v>3.6099999999999994</c:v>
                </c:pt>
                <c:pt idx="19">
                  <c:v>3.7999999999999994</c:v>
                </c:pt>
                <c:pt idx="20">
                  <c:v>3.9899999999999993</c:v>
                </c:pt>
                <c:pt idx="21">
                  <c:v>4.18</c:v>
                </c:pt>
                <c:pt idx="22">
                  <c:v>4.37</c:v>
                </c:pt>
                <c:pt idx="23">
                  <c:v>4.5600000000000005</c:v>
                </c:pt>
                <c:pt idx="24">
                  <c:v>4.7500000000000009</c:v>
                </c:pt>
                <c:pt idx="25">
                  <c:v>4.9400000000000013</c:v>
                </c:pt>
                <c:pt idx="26">
                  <c:v>5.1300000000000017</c:v>
                </c:pt>
                <c:pt idx="27">
                  <c:v>5.3200000000000021</c:v>
                </c:pt>
                <c:pt idx="28">
                  <c:v>5.5100000000000025</c:v>
                </c:pt>
                <c:pt idx="29">
                  <c:v>5.7000000000000028</c:v>
                </c:pt>
                <c:pt idx="30">
                  <c:v>5.8900000000000032</c:v>
                </c:pt>
                <c:pt idx="31">
                  <c:v>6.0800000000000036</c:v>
                </c:pt>
                <c:pt idx="32">
                  <c:v>6.270000000000004</c:v>
                </c:pt>
                <c:pt idx="33">
                  <c:v>6.4600000000000044</c:v>
                </c:pt>
                <c:pt idx="34">
                  <c:v>6.6500000000000048</c:v>
                </c:pt>
                <c:pt idx="35">
                  <c:v>6.8400000000000052</c:v>
                </c:pt>
                <c:pt idx="36">
                  <c:v>7.0300000000000056</c:v>
                </c:pt>
                <c:pt idx="37">
                  <c:v>7.220000000000006</c:v>
                </c:pt>
                <c:pt idx="38">
                  <c:v>7.4100000000000064</c:v>
                </c:pt>
                <c:pt idx="39">
                  <c:v>7.6000000000000068</c:v>
                </c:pt>
                <c:pt idx="40">
                  <c:v>7.7900000000000071</c:v>
                </c:pt>
                <c:pt idx="41">
                  <c:v>7.9800000000000075</c:v>
                </c:pt>
                <c:pt idx="42">
                  <c:v>8.170000000000007</c:v>
                </c:pt>
                <c:pt idx="43">
                  <c:v>8.3600000000000065</c:v>
                </c:pt>
                <c:pt idx="44">
                  <c:v>8.550000000000006</c:v>
                </c:pt>
                <c:pt idx="45">
                  <c:v>8.7400000000000055</c:v>
                </c:pt>
                <c:pt idx="46">
                  <c:v>8.930000000000005</c:v>
                </c:pt>
                <c:pt idx="47">
                  <c:v>9.1200000000000045</c:v>
                </c:pt>
                <c:pt idx="48">
                  <c:v>9.3100000000000041</c:v>
                </c:pt>
                <c:pt idx="49">
                  <c:v>9.5000000000000036</c:v>
                </c:pt>
                <c:pt idx="50">
                  <c:v>9.6900000000000031</c:v>
                </c:pt>
                <c:pt idx="51">
                  <c:v>9.8800000000000026</c:v>
                </c:pt>
                <c:pt idx="52">
                  <c:v>10.070000000000002</c:v>
                </c:pt>
                <c:pt idx="53">
                  <c:v>10.260000000000002</c:v>
                </c:pt>
                <c:pt idx="54">
                  <c:v>10.450000000000001</c:v>
                </c:pt>
                <c:pt idx="55">
                  <c:v>10.64</c:v>
                </c:pt>
                <c:pt idx="56">
                  <c:v>10.83</c:v>
                </c:pt>
                <c:pt idx="57">
                  <c:v>11.02</c:v>
                </c:pt>
                <c:pt idx="58">
                  <c:v>11.209999999999999</c:v>
                </c:pt>
                <c:pt idx="59">
                  <c:v>11.399999999999999</c:v>
                </c:pt>
                <c:pt idx="60">
                  <c:v>11.589999999999998</c:v>
                </c:pt>
                <c:pt idx="61">
                  <c:v>11.779999999999998</c:v>
                </c:pt>
                <c:pt idx="62">
                  <c:v>11.969999999999997</c:v>
                </c:pt>
                <c:pt idx="63">
                  <c:v>12.159999999999997</c:v>
                </c:pt>
                <c:pt idx="64">
                  <c:v>12.349999999999996</c:v>
                </c:pt>
                <c:pt idx="65">
                  <c:v>12.539999999999996</c:v>
                </c:pt>
                <c:pt idx="66">
                  <c:v>12.729999999999995</c:v>
                </c:pt>
                <c:pt idx="67">
                  <c:v>12.919999999999995</c:v>
                </c:pt>
                <c:pt idx="68">
                  <c:v>13.109999999999994</c:v>
                </c:pt>
                <c:pt idx="69">
                  <c:v>13.299999999999994</c:v>
                </c:pt>
                <c:pt idx="70">
                  <c:v>13.489999999999993</c:v>
                </c:pt>
                <c:pt idx="71">
                  <c:v>13.679999999999993</c:v>
                </c:pt>
                <c:pt idx="72">
                  <c:v>13.869999999999992</c:v>
                </c:pt>
                <c:pt idx="73">
                  <c:v>14.059999999999992</c:v>
                </c:pt>
                <c:pt idx="74">
                  <c:v>14.249999999999991</c:v>
                </c:pt>
                <c:pt idx="75">
                  <c:v>14.439999999999991</c:v>
                </c:pt>
                <c:pt idx="76">
                  <c:v>14.62999999999999</c:v>
                </c:pt>
                <c:pt idx="77">
                  <c:v>14.81999999999999</c:v>
                </c:pt>
                <c:pt idx="78">
                  <c:v>15.009999999999989</c:v>
                </c:pt>
                <c:pt idx="79">
                  <c:v>15.199999999999989</c:v>
                </c:pt>
                <c:pt idx="80">
                  <c:v>15.389999999999988</c:v>
                </c:pt>
                <c:pt idx="81">
                  <c:v>15.579999999999988</c:v>
                </c:pt>
                <c:pt idx="82">
                  <c:v>15.769999999999987</c:v>
                </c:pt>
                <c:pt idx="83">
                  <c:v>15.959999999999987</c:v>
                </c:pt>
                <c:pt idx="84">
                  <c:v>16.149999999999988</c:v>
                </c:pt>
                <c:pt idx="85">
                  <c:v>16.339999999999989</c:v>
                </c:pt>
                <c:pt idx="86">
                  <c:v>16.52999999999999</c:v>
                </c:pt>
                <c:pt idx="87">
                  <c:v>16.719999999999992</c:v>
                </c:pt>
                <c:pt idx="88">
                  <c:v>16.909999999999993</c:v>
                </c:pt>
                <c:pt idx="89">
                  <c:v>17.099999999999994</c:v>
                </c:pt>
                <c:pt idx="90">
                  <c:v>17.289999999999996</c:v>
                </c:pt>
                <c:pt idx="91">
                  <c:v>17.479999999999997</c:v>
                </c:pt>
                <c:pt idx="92">
                  <c:v>17.669999999999998</c:v>
                </c:pt>
                <c:pt idx="93">
                  <c:v>17.86</c:v>
                </c:pt>
                <c:pt idx="94">
                  <c:v>18.05</c:v>
                </c:pt>
                <c:pt idx="95">
                  <c:v>18.240000000000002</c:v>
                </c:pt>
                <c:pt idx="96">
                  <c:v>18.430000000000003</c:v>
                </c:pt>
                <c:pt idx="97">
                  <c:v>18.620000000000005</c:v>
                </c:pt>
                <c:pt idx="98">
                  <c:v>18.810000000000006</c:v>
                </c:pt>
                <c:pt idx="99">
                  <c:v>19.000000000000007</c:v>
                </c:pt>
              </c:numCache>
            </c:numRef>
          </c:xVal>
          <c:yVal>
            <c:numRef>
              <c:f>'Plantilla Dt. Sht.'!$U$52:$U$151</c:f>
              <c:numCache>
                <c:formatCode>0.00000</c:formatCode>
                <c:ptCount val="100"/>
                <c:pt idx="0">
                  <c:v>0.23270976086607778</c:v>
                </c:pt>
                <c:pt idx="1">
                  <c:v>0.21372453833740115</c:v>
                </c:pt>
                <c:pt idx="2">
                  <c:v>0.20011943248423938</c:v>
                </c:pt>
                <c:pt idx="3">
                  <c:v>0.18886925238166544</c:v>
                </c:pt>
                <c:pt idx="4">
                  <c:v>0.17902620743935199</c:v>
                </c:pt>
                <c:pt idx="5">
                  <c:v>0.17016225098745402</c:v>
                </c:pt>
                <c:pt idx="6">
                  <c:v>0.16204361007326556</c:v>
                </c:pt>
                <c:pt idx="7">
                  <c:v>0.1545262645949505</c:v>
                </c:pt>
                <c:pt idx="8">
                  <c:v>0.14751367020100217</c:v>
                </c:pt>
                <c:pt idx="9">
                  <c:v>0.14093690903221279</c:v>
                </c:pt>
                <c:pt idx="10">
                  <c:v>0.13474433133218447</c:v>
                </c:pt>
                <c:pt idx="11">
                  <c:v>0.12889570279134371</c:v>
                </c:pt>
                <c:pt idx="12">
                  <c:v>0.12335868538472063</c:v>
                </c:pt>
                <c:pt idx="13">
                  <c:v>0.11810661229765655</c:v>
                </c:pt>
                <c:pt idx="14">
                  <c:v>0.11311702138929695</c:v>
                </c:pt>
                <c:pt idx="15">
                  <c:v>0.10837065414271267</c:v>
                </c:pt>
                <c:pt idx="16">
                  <c:v>0.10385075152676665</c:v>
                </c:pt>
                <c:pt idx="17">
                  <c:v>9.9542545614290948E-2</c:v>
                </c:pt>
                <c:pt idx="18">
                  <c:v>9.543288401821591E-2</c:v>
                </c:pt>
                <c:pt idx="19">
                  <c:v>9.1509946735560843E-2</c:v>
                </c:pt>
                <c:pt idx="20">
                  <c:v>8.7763028728975928E-2</c:v>
                </c:pt>
                <c:pt idx="21">
                  <c:v>8.4182370209547983E-2</c:v>
                </c:pt>
                <c:pt idx="22">
                  <c:v>8.0759022155733731E-2</c:v>
                </c:pt>
                <c:pt idx="23">
                  <c:v>7.7484738284030408E-2</c:v>
                </c:pt>
                <c:pt idx="24">
                  <c:v>7.4351887170947858E-2</c:v>
                </c:pt>
                <c:pt idx="25">
                  <c:v>7.1353379934588096E-2</c:v>
                </c:pt>
                <c:pt idx="26">
                  <c:v>6.8482610080252387E-2</c:v>
                </c:pt>
                <c:pt idx="27">
                  <c:v>6.5733402965183985E-2</c:v>
                </c:pt>
                <c:pt idx="28">
                  <c:v>6.3099972951449534E-2</c:v>
                </c:pt>
                <c:pt idx="29">
                  <c:v>6.0576886764954582E-2</c:v>
                </c:pt>
                <c:pt idx="30">
                  <c:v>5.815903191106634E-2</c:v>
                </c:pt>
                <c:pt idx="31">
                  <c:v>5.5841589246356481E-2</c:v>
                </c:pt>
                <c:pt idx="32">
                  <c:v>5.3620008994519568E-2</c:v>
                </c:pt>
                <c:pt idx="33">
                  <c:v>5.1489989638691537E-2</c:v>
                </c:pt>
                <c:pt idx="34">
                  <c:v>4.9447459233662915E-2</c:v>
                </c:pt>
                <c:pt idx="35">
                  <c:v>4.7488558768111297E-2</c:v>
                </c:pt>
                <c:pt idx="36">
                  <c:v>4.5609627274981711E-2</c:v>
                </c:pt>
                <c:pt idx="37">
                  <c:v>4.3807188441938781E-2</c:v>
                </c:pt>
                <c:pt idx="38">
                  <c:v>4.2077938516682525E-2</c:v>
                </c:pt>
                <c:pt idx="39">
                  <c:v>4.0418735336317638E-2</c:v>
                </c:pt>
                <c:pt idx="40">
                  <c:v>3.8826588337747887E-2</c:v>
                </c:pt>
                <c:pt idx="41">
                  <c:v>3.7298649428647246E-2</c:v>
                </c:pt>
                <c:pt idx="42">
                  <c:v>3.5832204617019428E-2</c:v>
                </c:pt>
                <c:pt idx="43">
                  <c:v>3.4424666312536559E-2</c:v>
                </c:pt>
                <c:pt idx="44">
                  <c:v>3.307356622539552E-2</c:v>
                </c:pt>
                <c:pt idx="45">
                  <c:v>3.1776548798857857E-2</c:v>
                </c:pt>
                <c:pt idx="46">
                  <c:v>3.0531365120347282E-2</c:v>
                </c:pt>
                <c:pt idx="47">
                  <c:v>2.9335867263286224E-2</c:v>
                </c:pt>
                <c:pt idx="48">
                  <c:v>2.8188003018012945E-2</c:v>
                </c:pt>
                <c:pt idx="49">
                  <c:v>2.7085810975336942E-2</c:v>
                </c:pt>
                <c:pt idx="50">
                  <c:v>2.6027415930725883E-2</c:v>
                </c:pt>
                <c:pt idx="51">
                  <c:v>2.5011024580904834E-2</c:v>
                </c:pt>
                <c:pt idx="52">
                  <c:v>2.4034921487895787E-2</c:v>
                </c:pt>
                <c:pt idx="53">
                  <c:v>2.3097465288319862E-2</c:v>
                </c:pt>
                <c:pt idx="54">
                  <c:v>2.2197085128198561E-2</c:v>
                </c:pt>
                <c:pt idx="55">
                  <c:v>2.133227730558359E-2</c:v>
                </c:pt>
                <c:pt idx="56">
                  <c:v>2.0501602105165443E-2</c:v>
                </c:pt>
                <c:pt idx="57">
                  <c:v>1.9703680810600754E-2</c:v>
                </c:pt>
                <c:pt idx="58">
                  <c:v>1.8937192881690997E-2</c:v>
                </c:pt>
                <c:pt idx="59">
                  <c:v>1.8200873284768437E-2</c:v>
                </c:pt>
                <c:pt idx="60">
                  <c:v>1.7493509965724036E-2</c:v>
                </c:pt>
                <c:pt idx="61">
                  <c:v>1.6813941456065663E-2</c:v>
                </c:pt>
                <c:pt idx="62">
                  <c:v>1.6161054603240556E-2</c:v>
                </c:pt>
                <c:pt idx="63">
                  <c:v>1.5533782417208234E-2</c:v>
                </c:pt>
                <c:pt idx="64">
                  <c:v>1.4931102025920746E-2</c:v>
                </c:pt>
                <c:pt idx="65">
                  <c:v>1.4352032732967085E-2</c:v>
                </c:pt>
                <c:pt idx="66">
                  <c:v>1.3795634171176329E-2</c:v>
                </c:pt>
                <c:pt idx="67">
                  <c:v>1.3261004546457563E-2</c:v>
                </c:pt>
                <c:pt idx="68">
                  <c:v>1.2747278966590361E-2</c:v>
                </c:pt>
                <c:pt idx="69">
                  <c:v>1.225362785007315E-2</c:v>
                </c:pt>
                <c:pt idx="70">
                  <c:v>1.1779255410493019E-2</c:v>
                </c:pt>
                <c:pt idx="71">
                  <c:v>1.1323398212204051E-2</c:v>
                </c:pt>
                <c:pt idx="72">
                  <c:v>1.0885323793395371E-2</c:v>
                </c:pt>
                <c:pt idx="73">
                  <c:v>1.0464329352897941E-2</c:v>
                </c:pt>
                <c:pt idx="74">
                  <c:v>1.0059740497324313E-2</c:v>
                </c:pt>
                <c:pt idx="75">
                  <c:v>9.6709100453592489E-3</c:v>
                </c:pt>
                <c:pt idx="76">
                  <c:v>9.2972168862247625E-3</c:v>
                </c:pt>
                <c:pt idx="77">
                  <c:v>8.9380648895317789E-3</c:v>
                </c:pt>
                <c:pt idx="78">
                  <c:v>8.5928818639041428E-3</c:v>
                </c:pt>
                <c:pt idx="79">
                  <c:v>8.2611185619210336E-3</c:v>
                </c:pt>
                <c:pt idx="80">
                  <c:v>7.9422477290713479E-3</c:v>
                </c:pt>
                <c:pt idx="81">
                  <c:v>7.635763194550573E-3</c:v>
                </c:pt>
                <c:pt idx="82">
                  <c:v>7.3411790018571366E-3</c:v>
                </c:pt>
                <c:pt idx="83">
                  <c:v>7.0580285772628166E-3</c:v>
                </c:pt>
                <c:pt idx="84">
                  <c:v>6.7858639343407667E-3</c:v>
                </c:pt>
                <c:pt idx="85">
                  <c:v>6.5242549128364169E-3</c:v>
                </c:pt>
                <c:pt idx="86">
                  <c:v>6.272788450260928E-3</c:v>
                </c:pt>
                <c:pt idx="87">
                  <c:v>6.0310678846751866E-3</c:v>
                </c:pt>
                <c:pt idx="88">
                  <c:v>5.7987122872146073E-3</c:v>
                </c:pt>
                <c:pt idx="89">
                  <c:v>5.5753558229821552E-3</c:v>
                </c:pt>
                <c:pt idx="90">
                  <c:v>5.360647139008896E-3</c:v>
                </c:pt>
                <c:pt idx="91">
                  <c:v>5.1542487780491392E-3</c:v>
                </c:pt>
                <c:pt idx="92">
                  <c:v>4.9558366170403892E-3</c:v>
                </c:pt>
                <c:pt idx="93">
                  <c:v>4.7650993291179404E-3</c:v>
                </c:pt>
                <c:pt idx="94">
                  <c:v>4.5817378681298178E-3</c:v>
                </c:pt>
                <c:pt idx="95">
                  <c:v>4.4054649746502758E-3</c:v>
                </c:pt>
                <c:pt idx="96">
                  <c:v>4.2360047025397146E-3</c:v>
                </c:pt>
                <c:pt idx="97">
                  <c:v>4.0730919651453413E-3</c:v>
                </c:pt>
                <c:pt idx="98">
                  <c:v>3.9164721002810767E-3</c:v>
                </c:pt>
                <c:pt idx="99">
                  <c:v>3.7659004531665511E-3</c:v>
                </c:pt>
              </c:numCache>
            </c:numRef>
          </c:yVal>
          <c:smooth val="1"/>
          <c:extLst>
            <c:ext xmlns:c16="http://schemas.microsoft.com/office/drawing/2014/chart" uri="{C3380CC4-5D6E-409C-BE32-E72D297353CC}">
              <c16:uniqueId val="{00000000-F90C-4A49-81B0-7A19ECF0ED06}"/>
            </c:ext>
          </c:extLst>
        </c:ser>
        <c:ser>
          <c:idx val="1"/>
          <c:order val="1"/>
          <c:tx>
            <c:v>5%</c:v>
          </c:tx>
          <c:spPr>
            <a:ln w="25400">
              <a:solidFill>
                <a:srgbClr val="FF0000">
                  <a:alpha val="50000"/>
                </a:srgbClr>
              </a:solidFill>
            </a:ln>
            <a:effectLst>
              <a:outerShdw blurRad="50800" dist="50800" dir="5400000" algn="ctr" rotWithShape="0">
                <a:prstClr val="white">
                  <a:lumMod val="65000"/>
                </a:prst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F90C-4A49-81B0-7A19ECF0ED06}"/>
                </c:ext>
              </c:extLst>
            </c:dLbl>
            <c:spPr>
              <a:noFill/>
              <a:ln>
                <a:noFill/>
              </a:ln>
              <a:effectLst/>
            </c:spPr>
            <c:txPr>
              <a:bodyPr/>
              <a:lstStyle/>
              <a:p>
                <a:pPr>
                  <a:defRPr sz="1100" b="1"/>
                </a:pPr>
                <a:endParaRPr lang="es-MX"/>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'Plantilla Dt. Sht.'!$T$41:$T$42</c:f>
              <c:numCache>
                <c:formatCode>#,##0.0</c:formatCode>
                <c:ptCount val="2"/>
                <c:pt idx="0">
                  <c:v>0.22025576639179376</c:v>
                </c:pt>
                <c:pt idx="1">
                  <c:v>0.22025576639179376</c:v>
                </c:pt>
              </c:numCache>
            </c:numRef>
          </c:xVal>
          <c:yVal>
            <c:numRef>
              <c:f>'Plantilla Dt. Sht.'!$U$41:$U$42</c:f>
              <c:numCache>
                <c:formatCode>General</c:formatCode>
                <c:ptCount val="2"/>
                <c:pt idx="0">
                  <c:v>0</c:v>
                </c:pt>
                <c:pt idx="1">
                  <c:v>0.23736395608339933</c:v>
                </c:pt>
              </c:numCache>
            </c:numRef>
          </c:yVal>
          <c:smooth val="0"/>
          <c:extLst>
            <c:ext xmlns:c16="http://schemas.microsoft.com/office/drawing/2014/chart" uri="{C3380CC4-5D6E-409C-BE32-E72D297353CC}">
              <c16:uniqueId val="{00000002-F90C-4A49-81B0-7A19ECF0ED06}"/>
            </c:ext>
          </c:extLst>
        </c:ser>
        <c:ser>
          <c:idx val="2"/>
          <c:order val="2"/>
          <c:tx>
            <c:v>50%</c:v>
          </c:tx>
          <c:spPr>
            <a:ln w="25400">
              <a:solidFill>
                <a:srgbClr val="FF0000">
                  <a:alpha val="50000"/>
                </a:srgbClr>
              </a:solidFill>
            </a:ln>
            <a:effectLst>
              <a:outerShdw blurRad="50800" dist="50800" dir="5400000" algn="ctr" rotWithShape="0">
                <a:schemeClr val="bg1">
                  <a:lumMod val="75000"/>
                </a:scheme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F90C-4A49-81B0-7A19ECF0ED06}"/>
                </c:ext>
              </c:extLst>
            </c:dLbl>
            <c:spPr>
              <a:noFill/>
              <a:ln>
                <a:noFill/>
              </a:ln>
              <a:effectLst/>
            </c:spPr>
            <c:txPr>
              <a:bodyPr/>
              <a:lstStyle/>
              <a:p>
                <a:pPr>
                  <a:defRPr sz="1100" b="1"/>
                </a:pPr>
                <a:endParaRPr lang="es-MX"/>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'Plantilla Dt. Sht.'!$T$43:$T$44</c:f>
              <c:numCache>
                <c:formatCode>#,##0.0</c:formatCode>
                <c:ptCount val="2"/>
                <c:pt idx="0">
                  <c:v>4.5999999999999996</c:v>
                </c:pt>
                <c:pt idx="1">
                  <c:v>4.5999999999999996</c:v>
                </c:pt>
              </c:numCache>
            </c:numRef>
          </c:xVal>
          <c:yVal>
            <c:numRef>
              <c:f>'Plantilla Dt. Sht.'!$U$43:$U$44</c:f>
              <c:numCache>
                <c:formatCode>General</c:formatCode>
                <c:ptCount val="2"/>
                <c:pt idx="0">
                  <c:v>0</c:v>
                </c:pt>
                <c:pt idx="1">
                  <c:v>0.23736395608339933</c:v>
                </c:pt>
              </c:numCache>
            </c:numRef>
          </c:yVal>
          <c:smooth val="1"/>
          <c:extLst>
            <c:ext xmlns:c16="http://schemas.microsoft.com/office/drawing/2014/chart" uri="{C3380CC4-5D6E-409C-BE32-E72D297353CC}">
              <c16:uniqueId val="{00000004-F90C-4A49-81B0-7A19ECF0ED06}"/>
            </c:ext>
          </c:extLst>
        </c:ser>
        <c:ser>
          <c:idx val="3"/>
          <c:order val="3"/>
          <c:tx>
            <c:v>95%</c:v>
          </c:tx>
          <c:spPr>
            <a:ln w="25400">
              <a:solidFill>
                <a:srgbClr val="FF0000">
                  <a:alpha val="50000"/>
                </a:srgbClr>
              </a:solidFill>
            </a:ln>
            <a:effectLst>
              <a:outerShdw blurRad="50800" dist="50800" dir="5400000" algn="ctr" rotWithShape="0">
                <a:schemeClr val="bg1">
                  <a:lumMod val="75000"/>
                </a:schemeClr>
              </a:outerShdw>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F90C-4A49-81B0-7A19ECF0ED06}"/>
                </c:ext>
              </c:extLst>
            </c:dLbl>
            <c:spPr>
              <a:noFill/>
              <a:ln>
                <a:noFill/>
              </a:ln>
              <a:effectLst/>
            </c:spPr>
            <c:txPr>
              <a:bodyPr/>
              <a:lstStyle/>
              <a:p>
                <a:pPr>
                  <a:defRPr sz="1100" b="1"/>
                </a:pPr>
                <a:endParaRPr lang="es-MX"/>
              </a:p>
            </c:txPr>
            <c:dLblPos val="t"/>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'Plantilla Dt. Sht.'!$T$45:$T$46</c:f>
              <c:numCache>
                <c:formatCode>#,##0.0</c:formatCode>
                <c:ptCount val="2"/>
                <c:pt idx="0">
                  <c:v>14.060604869254236</c:v>
                </c:pt>
                <c:pt idx="1">
                  <c:v>14.060604869254236</c:v>
                </c:pt>
              </c:numCache>
            </c:numRef>
          </c:xVal>
          <c:yVal>
            <c:numRef>
              <c:f>'Plantilla Dt. Sht.'!$U$45:$U$46</c:f>
              <c:numCache>
                <c:formatCode>General</c:formatCode>
                <c:ptCount val="2"/>
                <c:pt idx="0">
                  <c:v>0</c:v>
                </c:pt>
                <c:pt idx="1">
                  <c:v>0.23736395608339933</c:v>
                </c:pt>
              </c:numCache>
            </c:numRef>
          </c:yVal>
          <c:smooth val="1"/>
          <c:extLst>
            <c:ext xmlns:c16="http://schemas.microsoft.com/office/drawing/2014/chart" uri="{C3380CC4-5D6E-409C-BE32-E72D297353CC}">
              <c16:uniqueId val="{00000006-F90C-4A49-81B0-7A19ECF0ED06}"/>
            </c:ext>
          </c:extLst>
        </c:ser>
        <c:dLbls>
          <c:showLegendKey val="0"/>
          <c:showVal val="0"/>
          <c:showCatName val="0"/>
          <c:showSerName val="0"/>
          <c:showPercent val="0"/>
          <c:showBubbleSize val="0"/>
        </c:dLbls>
        <c:axId val="130486656"/>
        <c:axId val="130568192"/>
      </c:scatterChart>
      <c:valAx>
        <c:axId val="130486656"/>
        <c:scaling>
          <c:orientation val="minMax"/>
        </c:scaling>
        <c:delete val="0"/>
        <c:axPos val="b"/>
        <c:title>
          <c:tx>
            <c:rich>
              <a:bodyPr/>
              <a:lstStyle/>
              <a:p>
                <a:pPr>
                  <a:defRPr sz="1100">
                    <a:latin typeface="Arial" pitchFamily="34" charset="0"/>
                    <a:cs typeface="Arial" pitchFamily="34" charset="0"/>
                  </a:defRPr>
                </a:pPr>
                <a:r>
                  <a:rPr lang="es-VE" sz="1100">
                    <a:latin typeface="Arial" pitchFamily="34" charset="0"/>
                    <a:cs typeface="Arial" pitchFamily="34" charset="0"/>
                  </a:rPr>
                  <a:t>Time [hrs]</a:t>
                </a:r>
              </a:p>
            </c:rich>
          </c:tx>
          <c:overlay val="0"/>
        </c:title>
        <c:numFmt formatCode="#,##0" sourceLinked="0"/>
        <c:majorTickMark val="out"/>
        <c:minorTickMark val="none"/>
        <c:tickLblPos val="nextTo"/>
        <c:spPr>
          <a:ln>
            <a:solidFill>
              <a:sysClr val="windowText" lastClr="000000"/>
            </a:solidFill>
          </a:ln>
        </c:spPr>
        <c:txPr>
          <a:bodyPr/>
          <a:lstStyle/>
          <a:p>
            <a:pPr>
              <a:defRPr sz="1100"/>
            </a:pPr>
            <a:endParaRPr lang="es-MX"/>
          </a:p>
        </c:txPr>
        <c:crossAx val="130568192"/>
        <c:crosses val="autoZero"/>
        <c:crossBetween val="midCat"/>
      </c:valAx>
      <c:valAx>
        <c:axId val="130568192"/>
        <c:scaling>
          <c:orientation val="minMax"/>
        </c:scaling>
        <c:delete val="1"/>
        <c:axPos val="l"/>
        <c:majorGridlines/>
        <c:title>
          <c:tx>
            <c:rich>
              <a:bodyPr rot="-5400000" vert="horz"/>
              <a:lstStyle/>
              <a:p>
                <a:pPr>
                  <a:defRPr sz="1200">
                    <a:latin typeface="Arial" pitchFamily="34" charset="0"/>
                    <a:cs typeface="Arial" pitchFamily="34" charset="0"/>
                  </a:defRPr>
                </a:pPr>
                <a:r>
                  <a:rPr lang="es-VE" sz="1200">
                    <a:latin typeface="Arial" pitchFamily="34" charset="0"/>
                    <a:cs typeface="Arial" pitchFamily="34" charset="0"/>
                  </a:rPr>
                  <a:t>Probability</a:t>
                </a:r>
              </a:p>
            </c:rich>
          </c:tx>
          <c:layout>
            <c:manualLayout>
              <c:xMode val="edge"/>
              <c:yMode val="edge"/>
              <c:x val="2.4024024024024031E-2"/>
              <c:y val="0.30304347470584925"/>
            </c:manualLayout>
          </c:layout>
          <c:overlay val="0"/>
        </c:title>
        <c:numFmt formatCode="0.00E+00" sourceLinked="0"/>
        <c:majorTickMark val="out"/>
        <c:minorTickMark val="none"/>
        <c:tickLblPos val="none"/>
        <c:crossAx val="130486656"/>
        <c:crosses val="autoZero"/>
        <c:crossBetween val="midCat"/>
      </c:valAx>
      <c:spPr>
        <a:ln>
          <a:solidFill>
            <a:schemeClr val="tx1"/>
          </a:solidFill>
        </a:ln>
      </c:spPr>
    </c:plotArea>
    <c:plotVisOnly val="1"/>
    <c:dispBlanksAs val="gap"/>
    <c:showDLblsOverMax val="0"/>
  </c:chart>
  <c:spPr>
    <a:ln>
      <a:solidFill>
        <a:sysClr val="windowText" lastClr="000000"/>
      </a:solidFill>
    </a:ln>
  </c:spPr>
  <c:printSettings>
    <c:headerFooter/>
    <c:pageMargins b="0.75000000000000111" l="0.70000000000000062" r="0.70000000000000062" t="0.75000000000000111"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rendline>
            <c:trendlineType val="poly"/>
            <c:order val="2"/>
            <c:backward val="1"/>
            <c:dispRSqr val="0"/>
            <c:dispEq val="1"/>
            <c:trendlineLbl>
              <c:numFmt formatCode="General" sourceLinked="0"/>
            </c:trendlineLbl>
          </c:trendline>
          <c:xVal>
            <c:numRef>
              <c:f>'Chi-Square'!$S$13:$S$14</c:f>
              <c:numCache>
                <c:formatCode>General</c:formatCode>
                <c:ptCount val="2"/>
                <c:pt idx="0">
                  <c:v>1</c:v>
                </c:pt>
                <c:pt idx="1">
                  <c:v>2</c:v>
                </c:pt>
              </c:numCache>
            </c:numRef>
          </c:xVal>
          <c:yVal>
            <c:numRef>
              <c:f>'Chi-Square'!$T$13:$T$14</c:f>
              <c:numCache>
                <c:formatCode>0.0000</c:formatCode>
                <c:ptCount val="2"/>
                <c:pt idx="0">
                  <c:v>3.9321400000195293E-3</c:v>
                </c:pt>
                <c:pt idx="1">
                  <c:v>0.10258658877510116</c:v>
                </c:pt>
              </c:numCache>
            </c:numRef>
          </c:yVal>
          <c:smooth val="1"/>
          <c:extLst>
            <c:ext xmlns:c16="http://schemas.microsoft.com/office/drawing/2014/chart" uri="{C3380CC4-5D6E-409C-BE32-E72D297353CC}">
              <c16:uniqueId val="{00000001-A678-4213-9FBE-2365C6140DF8}"/>
            </c:ext>
          </c:extLst>
        </c:ser>
        <c:dLbls>
          <c:showLegendKey val="0"/>
          <c:showVal val="0"/>
          <c:showCatName val="0"/>
          <c:showSerName val="0"/>
          <c:showPercent val="0"/>
          <c:showBubbleSize val="0"/>
        </c:dLbls>
        <c:axId val="118997760"/>
        <c:axId val="118999296"/>
      </c:scatterChart>
      <c:valAx>
        <c:axId val="118997760"/>
        <c:scaling>
          <c:orientation val="minMax"/>
        </c:scaling>
        <c:delete val="0"/>
        <c:axPos val="b"/>
        <c:numFmt formatCode="General" sourceLinked="1"/>
        <c:majorTickMark val="out"/>
        <c:minorTickMark val="none"/>
        <c:tickLblPos val="nextTo"/>
        <c:crossAx val="118999296"/>
        <c:crosses val="autoZero"/>
        <c:crossBetween val="midCat"/>
      </c:valAx>
      <c:valAx>
        <c:axId val="118999296"/>
        <c:scaling>
          <c:orientation val="minMax"/>
        </c:scaling>
        <c:delete val="0"/>
        <c:axPos val="l"/>
        <c:majorGridlines/>
        <c:numFmt formatCode="0.0000" sourceLinked="1"/>
        <c:majorTickMark val="out"/>
        <c:minorTickMark val="none"/>
        <c:tickLblPos val="nextTo"/>
        <c:crossAx val="118997760"/>
        <c:crosses val="autoZero"/>
        <c:crossBetween val="midCat"/>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Spin" dx="16" fmlaLink="$P$22" max="334" min="1" page="10"/>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1" Type="http://schemas.openxmlformats.org/officeDocument/2006/relationships/image" Target="../media/image6.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105</xdr:col>
      <xdr:colOff>486835</xdr:colOff>
      <xdr:row>35</xdr:row>
      <xdr:rowOff>0</xdr:rowOff>
    </xdr:from>
    <xdr:to>
      <xdr:col>114</xdr:col>
      <xdr:colOff>381001</xdr:colOff>
      <xdr:row>59</xdr:row>
      <xdr:rowOff>20319</xdr:rowOff>
    </xdr:to>
    <xdr:pic>
      <xdr:nvPicPr>
        <xdr:cNvPr id="2" name="Picture 4">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srcRect l="33187" t="23151" r="14918" b="13905"/>
        <a:stretch>
          <a:fillRect/>
        </a:stretch>
      </xdr:blipFill>
      <xdr:spPr bwMode="auto">
        <a:xfrm>
          <a:off x="90392252" y="1164167"/>
          <a:ext cx="6752166" cy="4603749"/>
        </a:xfrm>
        <a:prstGeom prst="rect">
          <a:avLst/>
        </a:prstGeom>
        <a:noFill/>
        <a:ln w="1">
          <a:noFill/>
          <a:miter lim="800000"/>
          <a:headEnd/>
          <a:tailEnd type="none" w="med" len="med"/>
        </a:ln>
        <a:effectLst/>
      </xdr:spPr>
    </xdr:pic>
    <xdr:clientData/>
  </xdr:twoCellAnchor>
  <xdr:twoCellAnchor editAs="oneCell">
    <xdr:from>
      <xdr:col>112</xdr:col>
      <xdr:colOff>687917</xdr:colOff>
      <xdr:row>35</xdr:row>
      <xdr:rowOff>0</xdr:rowOff>
    </xdr:from>
    <xdr:to>
      <xdr:col>121</xdr:col>
      <xdr:colOff>571500</xdr:colOff>
      <xdr:row>59</xdr:row>
      <xdr:rowOff>20321</xdr:rowOff>
    </xdr:to>
    <xdr:pic>
      <xdr:nvPicPr>
        <xdr:cNvPr id="3" name="Picture 6">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2" cstate="print"/>
        <a:srcRect l="33225" t="23293" r="14902" b="13773"/>
        <a:stretch>
          <a:fillRect/>
        </a:stretch>
      </xdr:blipFill>
      <xdr:spPr bwMode="auto">
        <a:xfrm>
          <a:off x="95927334" y="3069165"/>
          <a:ext cx="6741583" cy="4603751"/>
        </a:xfrm>
        <a:prstGeom prst="rect">
          <a:avLst/>
        </a:prstGeom>
        <a:noFill/>
        <a:ln w="1">
          <a:noFill/>
          <a:miter lim="800000"/>
          <a:headEnd/>
          <a:tailEnd type="none" w="med" len="med"/>
        </a:ln>
        <a:effectLst/>
      </xdr:spPr>
    </xdr:pic>
    <xdr:clientData/>
  </xdr:twoCellAnchor>
  <xdr:twoCellAnchor editAs="oneCell">
    <xdr:from>
      <xdr:col>121</xdr:col>
      <xdr:colOff>603254</xdr:colOff>
      <xdr:row>35</xdr:row>
      <xdr:rowOff>0</xdr:rowOff>
    </xdr:from>
    <xdr:to>
      <xdr:col>129</xdr:col>
      <xdr:colOff>288717</xdr:colOff>
      <xdr:row>60</xdr:row>
      <xdr:rowOff>97155</xdr:rowOff>
    </xdr:to>
    <xdr:pic>
      <xdr:nvPicPr>
        <xdr:cNvPr id="4" name="Picture 5">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3" cstate="print"/>
        <a:srcRect l="28739" t="20544" r="26728" b="13050"/>
        <a:stretch>
          <a:fillRect/>
        </a:stretch>
      </xdr:blipFill>
      <xdr:spPr bwMode="auto">
        <a:xfrm>
          <a:off x="102700671" y="3058581"/>
          <a:ext cx="5789083" cy="4857750"/>
        </a:xfrm>
        <a:prstGeom prst="rect">
          <a:avLst/>
        </a:prstGeom>
        <a:noFill/>
        <a:ln w="1">
          <a:noFill/>
          <a:miter lim="800000"/>
          <a:headEnd/>
          <a:tailEnd type="none" w="med" len="med"/>
        </a:ln>
        <a:effectLst/>
      </xdr:spPr>
    </xdr:pic>
    <xdr:clientData/>
  </xdr:twoCellAnchor>
  <mc:AlternateContent xmlns:mc="http://schemas.openxmlformats.org/markup-compatibility/2006">
    <mc:Choice xmlns:a14="http://schemas.microsoft.com/office/drawing/2010/main" Requires="a14">
      <xdr:twoCellAnchor>
        <xdr:from>
          <xdr:col>49</xdr:col>
          <xdr:colOff>373380</xdr:colOff>
          <xdr:row>0</xdr:row>
          <xdr:rowOff>144780</xdr:rowOff>
        </xdr:from>
        <xdr:to>
          <xdr:col>51</xdr:col>
          <xdr:colOff>220980</xdr:colOff>
          <xdr:row>3</xdr:row>
          <xdr:rowOff>68580</xdr:rowOff>
        </xdr:to>
        <xdr:sp macro="" textlink="">
          <xdr:nvSpPr>
            <xdr:cNvPr id="1073206" name="Button 54" hidden="1">
              <a:extLst>
                <a:ext uri="{63B3BB69-23CF-44E3-9099-C40C66FF867C}">
                  <a14:compatExt spid="_x0000_s1073206"/>
                </a:ext>
                <a:ext uri="{FF2B5EF4-FFF2-40B4-BE49-F238E27FC236}">
                  <a16:creationId xmlns:a16="http://schemas.microsoft.com/office/drawing/2014/main" id="{00000000-0008-0000-0300-000036601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1" i="0" u="none" strike="noStrike" baseline="0">
                  <a:solidFill>
                    <a:srgbClr val="FF0000"/>
                  </a:solidFill>
                  <a:latin typeface="Calibri"/>
                  <a:cs typeface="Calibri"/>
                </a:rPr>
                <a:t>Generar Data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28576</xdr:colOff>
      <xdr:row>26</xdr:row>
      <xdr:rowOff>38099</xdr:rowOff>
    </xdr:from>
    <xdr:to>
      <xdr:col>6</xdr:col>
      <xdr:colOff>676275</xdr:colOff>
      <xdr:row>41</xdr:row>
      <xdr:rowOff>152400</xdr:rowOff>
    </xdr:to>
    <xdr:graphicFrame macro="">
      <xdr:nvGraphicFramePr>
        <xdr:cNvPr id="5" name="4 Gráfico">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28575</xdr:colOff>
      <xdr:row>26</xdr:row>
      <xdr:rowOff>38099</xdr:rowOff>
    </xdr:from>
    <xdr:to>
      <xdr:col>12</xdr:col>
      <xdr:colOff>676274</xdr:colOff>
      <xdr:row>41</xdr:row>
      <xdr:rowOff>152400</xdr:rowOff>
    </xdr:to>
    <xdr:graphicFrame macro="">
      <xdr:nvGraphicFramePr>
        <xdr:cNvPr id="8" name="7 Gráfico">
          <a:extLst>
            <a:ext uri="{FF2B5EF4-FFF2-40B4-BE49-F238E27FC236}">
              <a16:creationId xmlns:a16="http://schemas.microsoft.com/office/drawing/2014/main" id="{00000000-0008-0000-04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14</xdr:col>
          <xdr:colOff>38100</xdr:colOff>
          <xdr:row>20</xdr:row>
          <xdr:rowOff>30480</xdr:rowOff>
        </xdr:from>
        <xdr:to>
          <xdr:col>15</xdr:col>
          <xdr:colOff>0</xdr:colOff>
          <xdr:row>23</xdr:row>
          <xdr:rowOff>7620</xdr:rowOff>
        </xdr:to>
        <xdr:sp macro="" textlink="">
          <xdr:nvSpPr>
            <xdr:cNvPr id="14340" name="Spinner 4" hidden="1">
              <a:extLst>
                <a:ext uri="{63B3BB69-23CF-44E3-9099-C40C66FF867C}">
                  <a14:compatExt spid="_x0000_s14340"/>
                </a:ext>
                <a:ext uri="{FF2B5EF4-FFF2-40B4-BE49-F238E27FC236}">
                  <a16:creationId xmlns:a16="http://schemas.microsoft.com/office/drawing/2014/main" id="{00000000-0008-0000-0400-000004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oneCell">
    <xdr:from>
      <xdr:col>11</xdr:col>
      <xdr:colOff>76200</xdr:colOff>
      <xdr:row>1</xdr:row>
      <xdr:rowOff>135820</xdr:rowOff>
    </xdr:from>
    <xdr:to>
      <xdr:col>12</xdr:col>
      <xdr:colOff>685800</xdr:colOff>
      <xdr:row>2</xdr:row>
      <xdr:rowOff>208915</xdr:rowOff>
    </xdr:to>
    <xdr:pic>
      <xdr:nvPicPr>
        <xdr:cNvPr id="10" name="Imagen 9">
          <a:extLst>
            <a:ext uri="{FF2B5EF4-FFF2-40B4-BE49-F238E27FC236}">
              <a16:creationId xmlns:a16="http://schemas.microsoft.com/office/drawing/2014/main" id="{00000000-0008-0000-0400-00000A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581900" y="316795"/>
          <a:ext cx="1343025" cy="522675"/>
        </a:xfrm>
        <a:prstGeom prst="rect">
          <a:avLst/>
        </a:prstGeom>
        <a:noFill/>
        <a:ln>
          <a:noFill/>
        </a:ln>
      </xdr:spPr>
    </xdr:pic>
    <xdr:clientData/>
  </xdr:twoCellAnchor>
  <xdr:twoCellAnchor editAs="oneCell">
    <xdr:from>
      <xdr:col>1</xdr:col>
      <xdr:colOff>38101</xdr:colOff>
      <xdr:row>1</xdr:row>
      <xdr:rowOff>251017</xdr:rowOff>
    </xdr:from>
    <xdr:to>
      <xdr:col>2</xdr:col>
      <xdr:colOff>701041</xdr:colOff>
      <xdr:row>2</xdr:row>
      <xdr:rowOff>93718</xdr:rowOff>
    </xdr:to>
    <xdr:pic>
      <xdr:nvPicPr>
        <xdr:cNvPr id="11" name="Picture 1">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09551" y="431992"/>
          <a:ext cx="1396365" cy="292281"/>
        </a:xfrm>
        <a:prstGeom prst="rect">
          <a:avLst/>
        </a:prstGeom>
        <a:noFill/>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38100</xdr:colOff>
      <xdr:row>3</xdr:row>
      <xdr:rowOff>171450</xdr:rowOff>
    </xdr:from>
    <xdr:to>
      <xdr:col>9</xdr:col>
      <xdr:colOff>589243</xdr:colOff>
      <xdr:row>39</xdr:row>
      <xdr:rowOff>133917</xdr:rowOff>
    </xdr:to>
    <xdr:pic>
      <xdr:nvPicPr>
        <xdr:cNvPr id="2" name="Imagen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828675" y="533400"/>
          <a:ext cx="6879553" cy="647375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32</xdr:col>
      <xdr:colOff>19050</xdr:colOff>
      <xdr:row>10</xdr:row>
      <xdr:rowOff>9525</xdr:rowOff>
    </xdr:from>
    <xdr:to>
      <xdr:col>39</xdr:col>
      <xdr:colOff>466725</xdr:colOff>
      <xdr:row>35</xdr:row>
      <xdr:rowOff>95250</xdr:rowOff>
    </xdr:to>
    <xdr:pic>
      <xdr:nvPicPr>
        <xdr:cNvPr id="2" name="Picture 7">
          <a:extLst>
            <a:ext uri="{FF2B5EF4-FFF2-40B4-BE49-F238E27FC236}">
              <a16:creationId xmlns:a16="http://schemas.microsoft.com/office/drawing/2014/main" id="{00000000-0008-0000-0700-000002000000}"/>
            </a:ext>
          </a:extLst>
        </xdr:cNvPr>
        <xdr:cNvPicPr>
          <a:picLocks noChangeAspect="1" noChangeArrowheads="1"/>
        </xdr:cNvPicPr>
      </xdr:nvPicPr>
      <xdr:blipFill>
        <a:blip xmlns:r="http://schemas.openxmlformats.org/officeDocument/2006/relationships" r:embed="rId1" cstate="print"/>
        <a:srcRect l="27745" t="14193" r="27819" b="19401"/>
        <a:stretch>
          <a:fillRect/>
        </a:stretch>
      </xdr:blipFill>
      <xdr:spPr bwMode="auto">
        <a:xfrm>
          <a:off x="12372975" y="2009775"/>
          <a:ext cx="5781675" cy="4857750"/>
        </a:xfrm>
        <a:prstGeom prst="rect">
          <a:avLst/>
        </a:prstGeom>
        <a:noFill/>
        <a:ln w="1">
          <a:noFill/>
          <a:miter lim="800000"/>
          <a:headEnd/>
          <a:tailEnd type="none" w="med" len="med"/>
        </a:ln>
        <a:effec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47625</xdr:colOff>
      <xdr:row>11</xdr:row>
      <xdr:rowOff>38100</xdr:rowOff>
    </xdr:from>
    <xdr:to>
      <xdr:col>1</xdr:col>
      <xdr:colOff>352425</xdr:colOff>
      <xdr:row>11</xdr:row>
      <xdr:rowOff>304800</xdr:rowOff>
    </xdr:to>
    <xdr:sp macro="" textlink="">
      <xdr:nvSpPr>
        <xdr:cNvPr id="2" name="Line 1">
          <a:extLst>
            <a:ext uri="{FF2B5EF4-FFF2-40B4-BE49-F238E27FC236}">
              <a16:creationId xmlns:a16="http://schemas.microsoft.com/office/drawing/2014/main" id="{00000000-0008-0000-0800-000002000000}"/>
            </a:ext>
          </a:extLst>
        </xdr:cNvPr>
        <xdr:cNvSpPr>
          <a:spLocks noChangeShapeType="1"/>
        </xdr:cNvSpPr>
      </xdr:nvSpPr>
      <xdr:spPr bwMode="auto">
        <a:xfrm>
          <a:off x="276225" y="2543175"/>
          <a:ext cx="304800" cy="266700"/>
        </a:xfrm>
        <a:prstGeom prst="line">
          <a:avLst/>
        </a:prstGeom>
        <a:noFill/>
        <a:ln w="9525">
          <a:solidFill>
            <a:srgbClr val="000000"/>
          </a:solidFill>
          <a:round/>
          <a:headEnd/>
          <a:tailEnd/>
        </a:ln>
      </xdr:spPr>
    </xdr:sp>
    <xdr:clientData/>
  </xdr:twoCellAnchor>
  <xdr:twoCellAnchor editAs="oneCell">
    <xdr:from>
      <xdr:col>4</xdr:col>
      <xdr:colOff>314327</xdr:colOff>
      <xdr:row>8</xdr:row>
      <xdr:rowOff>30496</xdr:rowOff>
    </xdr:from>
    <xdr:to>
      <xdr:col>12</xdr:col>
      <xdr:colOff>514351</xdr:colOff>
      <xdr:row>10</xdr:row>
      <xdr:rowOff>300252</xdr:rowOff>
    </xdr:to>
    <xdr:pic>
      <xdr:nvPicPr>
        <xdr:cNvPr id="3" name="Picture 6">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cstate="print"/>
        <a:srcRect l="6442" t="53385" r="7101" b="18099"/>
        <a:stretch>
          <a:fillRect/>
        </a:stretch>
      </xdr:blipFill>
      <xdr:spPr bwMode="auto">
        <a:xfrm>
          <a:off x="2133602" y="1506871"/>
          <a:ext cx="5153024" cy="955556"/>
        </a:xfrm>
        <a:prstGeom prst="rect">
          <a:avLst/>
        </a:prstGeom>
        <a:noFill/>
        <a:ln w="1">
          <a:noFill/>
          <a:miter lim="800000"/>
          <a:headEnd/>
          <a:tailEnd type="none" w="med" len="med"/>
        </a:ln>
        <a:effectLst/>
      </xdr:spPr>
    </xdr:pic>
    <xdr:clientData/>
  </xdr:twoCellAnchor>
  <xdr:twoCellAnchor>
    <xdr:from>
      <xdr:col>19</xdr:col>
      <xdr:colOff>180975</xdr:colOff>
      <xdr:row>1</xdr:row>
      <xdr:rowOff>19050</xdr:rowOff>
    </xdr:from>
    <xdr:to>
      <xdr:col>24</xdr:col>
      <xdr:colOff>147636</xdr:colOff>
      <xdr:row>9</xdr:row>
      <xdr:rowOff>266700</xdr:rowOff>
    </xdr:to>
    <xdr:graphicFrame macro="">
      <xdr:nvGraphicFramePr>
        <xdr:cNvPr id="4" name="3 Gráfico">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RAM%20Valerus%20Cardon%20IV/Distribuciones%20Gamma%20para%20TPR%20OREDA%202009.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B_DATA_"/>
      <sheetName val="TPR Gamma"/>
      <sheetName val="2002_2009"/>
      <sheetName val="Chi-Square"/>
    </sheetNames>
    <sheetDataSet>
      <sheetData sheetId="0" refreshError="1"/>
      <sheetData sheetId="1" refreshError="1"/>
      <sheetData sheetId="2" refreshError="1"/>
      <sheetData sheetId="3" refreshError="1">
        <row r="13">
          <cell r="R13">
            <v>8.6432736180961992E-3</v>
          </cell>
          <cell r="S13">
            <v>1</v>
          </cell>
          <cell r="T13">
            <v>3.9321400005324098E-3</v>
          </cell>
          <cell r="U13">
            <v>0.4549364250484666</v>
          </cell>
          <cell r="V13">
            <v>3.841459149489757</v>
          </cell>
        </row>
        <row r="14">
          <cell r="R14">
            <v>7.4000580678284605E-2</v>
          </cell>
          <cell r="S14">
            <v>2</v>
          </cell>
          <cell r="T14">
            <v>0.10258658882167279</v>
          </cell>
          <cell r="U14">
            <v>1.3862943760896287</v>
          </cell>
          <cell r="V14">
            <v>5.9914645471914136</v>
          </cell>
        </row>
        <row r="15">
          <cell r="R15">
            <v>0.14871098936751298</v>
          </cell>
          <cell r="S15">
            <v>3</v>
          </cell>
          <cell r="T15">
            <v>0.35184631840544622</v>
          </cell>
          <cell r="U15">
            <v>2.3659738927290714</v>
          </cell>
          <cell r="V15">
            <v>7.81472776394987</v>
          </cell>
        </row>
        <row r="16">
          <cell r="R16">
            <v>0.21173303927025938</v>
          </cell>
          <cell r="S16">
            <v>4</v>
          </cell>
          <cell r="T16">
            <v>0.71072302281597644</v>
          </cell>
          <cell r="U16">
            <v>3.3566940013967228</v>
          </cell>
          <cell r="V16">
            <v>9.487729036988851</v>
          </cell>
        </row>
        <row r="17">
          <cell r="R17">
            <v>0.26323950331531426</v>
          </cell>
          <cell r="S17">
            <v>5</v>
          </cell>
          <cell r="T17">
            <v>1.1454762275641139</v>
          </cell>
          <cell r="U17">
            <v>4.3514602221082166</v>
          </cell>
          <cell r="V17">
            <v>11.070497754622684</v>
          </cell>
        </row>
        <row r="18">
          <cell r="R18">
            <v>0.30578645160049706</v>
          </cell>
          <cell r="S18">
            <v>6</v>
          </cell>
          <cell r="T18">
            <v>1.6353828954369192</v>
          </cell>
          <cell r="U18">
            <v>5.3481208434097312</v>
          </cell>
          <cell r="V18">
            <v>12.591587244072656</v>
          </cell>
        </row>
        <row r="19">
          <cell r="R19">
            <v>0.34154023675938233</v>
          </cell>
          <cell r="S19">
            <v>7</v>
          </cell>
          <cell r="T19">
            <v>2.1673499186219098</v>
          </cell>
          <cell r="U19">
            <v>6.3458113725816272</v>
          </cell>
          <cell r="V19">
            <v>14.067140433005996</v>
          </cell>
        </row>
        <row r="20">
          <cell r="R20">
            <v>0.37208490493335278</v>
          </cell>
          <cell r="S20">
            <v>8</v>
          </cell>
          <cell r="T20">
            <v>2.7326367980537878</v>
          </cell>
          <cell r="U20">
            <v>7.3441216287536664</v>
          </cell>
          <cell r="V20">
            <v>15.507313056303193</v>
          </cell>
        </row>
        <row r="21">
          <cell r="R21">
            <v>0.39855921249205467</v>
          </cell>
          <cell r="S21">
            <v>9</v>
          </cell>
          <cell r="T21">
            <v>3.3251128637636711</v>
          </cell>
          <cell r="U21">
            <v>8.3428327825440931</v>
          </cell>
          <cell r="V21">
            <v>16.918977616106066</v>
          </cell>
        </row>
        <row r="22">
          <cell r="R22">
            <v>0.4217914675464125</v>
          </cell>
          <cell r="S22">
            <v>10</v>
          </cell>
          <cell r="T22">
            <v>3.9402991447958193</v>
          </cell>
          <cell r="U22">
            <v>9.3418180498453118</v>
          </cell>
          <cell r="V22">
            <v>18.307038053808746</v>
          </cell>
        </row>
        <row r="23">
          <cell r="R23">
            <v>0.44239569511877919</v>
          </cell>
          <cell r="S23">
            <v>11</v>
          </cell>
          <cell r="T23">
            <v>4.5748131079257845</v>
          </cell>
          <cell r="U23">
            <v>10.340998247502135</v>
          </cell>
          <cell r="V23">
            <v>19.675137572697327</v>
          </cell>
        </row>
        <row r="24">
          <cell r="R24">
            <v>0.46083604339851059</v>
          </cell>
          <cell r="S24">
            <v>12</v>
          </cell>
          <cell r="T24">
            <v>5.2260294996443619</v>
          </cell>
          <cell r="U24">
            <v>11.340322820897764</v>
          </cell>
          <cell r="V24">
            <v>21.026069818100467</v>
          </cell>
        </row>
        <row r="25">
          <cell r="R25">
            <v>0.47747008154475556</v>
          </cell>
          <cell r="S25">
            <v>13</v>
          </cell>
          <cell r="T25">
            <v>5.8918643681876564</v>
          </cell>
          <cell r="U25">
            <v>12.33975613534936</v>
          </cell>
          <cell r="V25">
            <v>22.362032496585705</v>
          </cell>
        </row>
        <row r="26">
          <cell r="R26">
            <v>0.49257786484114074</v>
          </cell>
          <cell r="S26">
            <v>14</v>
          </cell>
          <cell r="T26">
            <v>6.5706314569382283</v>
          </cell>
          <cell r="U26">
            <v>13.339274713566951</v>
          </cell>
          <cell r="V26">
            <v>23.684791305531363</v>
          </cell>
        </row>
        <row r="27">
          <cell r="R27">
            <v>0.50638224001959831</v>
          </cell>
          <cell r="S27">
            <v>15</v>
          </cell>
          <cell r="T27">
            <v>7.2609439553805402</v>
          </cell>
          <cell r="U27">
            <v>14.33885982079372</v>
          </cell>
          <cell r="V27">
            <v>24.995790132182982</v>
          </cell>
        </row>
        <row r="28">
          <cell r="R28">
            <v>0.51906287351687563</v>
          </cell>
          <cell r="S28">
            <v>16</v>
          </cell>
          <cell r="T28">
            <v>7.9616456323711748</v>
          </cell>
          <cell r="U28">
            <v>15.33849951245324</v>
          </cell>
          <cell r="V28">
            <v>26.296227605619606</v>
          </cell>
        </row>
        <row r="29">
          <cell r="R29">
            <v>0.53076651649877959</v>
          </cell>
          <cell r="S29">
            <v>17</v>
          </cell>
          <cell r="T29">
            <v>8.6717603251402782</v>
          </cell>
          <cell r="U29">
            <v>16.3381827142071</v>
          </cell>
          <cell r="V29">
            <v>27.587111639694186</v>
          </cell>
        </row>
        <row r="30">
          <cell r="R30">
            <v>0.54161423816344212</v>
          </cell>
          <cell r="S30">
            <v>18</v>
          </cell>
          <cell r="T30">
            <v>9.3904551262761089</v>
          </cell>
          <cell r="U30">
            <v>17.337903002916192</v>
          </cell>
          <cell r="V30">
            <v>28.869299433697442</v>
          </cell>
        </row>
        <row r="31">
          <cell r="R31">
            <v>0.55170708168541649</v>
          </cell>
          <cell r="S31">
            <v>19</v>
          </cell>
          <cell r="T31">
            <v>10.11701314994747</v>
          </cell>
          <cell r="U31">
            <v>18.337653232655427</v>
          </cell>
          <cell r="V31">
            <v>30.143527212981873</v>
          </cell>
        </row>
        <row r="32">
          <cell r="R32">
            <v>0.56112997670292586</v>
          </cell>
          <cell r="S32">
            <v>20</v>
          </cell>
          <cell r="T32">
            <v>10.850811548496004</v>
          </cell>
          <cell r="U32">
            <v>19.337429827315489</v>
          </cell>
          <cell r="V32">
            <v>31.410432858915069</v>
          </cell>
        </row>
        <row r="33">
          <cell r="R33">
            <v>0.56995500738193794</v>
          </cell>
          <cell r="S33">
            <v>21</v>
          </cell>
          <cell r="T33">
            <v>11.591305267939227</v>
          </cell>
          <cell r="U33">
            <v>20.337228584381343</v>
          </cell>
          <cell r="V33">
            <v>32.670573367671032</v>
          </cell>
        </row>
        <row r="34">
          <cell r="R34">
            <v>0.57824382348243131</v>
          </cell>
          <cell r="S34">
            <v>22</v>
          </cell>
          <cell r="T34">
            <v>12.338014680652762</v>
          </cell>
          <cell r="U34">
            <v>21.337045342478483</v>
          </cell>
          <cell r="V34">
            <v>33.924438516597618</v>
          </cell>
        </row>
        <row r="35">
          <cell r="R35">
            <v>0.58604938407061336</v>
          </cell>
          <cell r="S35">
            <v>23</v>
          </cell>
          <cell r="T35">
            <v>13.090514357020927</v>
          </cell>
          <cell r="U35">
            <v>22.336879302041286</v>
          </cell>
          <cell r="V35">
            <v>35.172461625361237</v>
          </cell>
        </row>
        <row r="36">
          <cell r="R36">
            <v>0.59341763016787963</v>
          </cell>
          <cell r="S36">
            <v>24</v>
          </cell>
          <cell r="T36">
            <v>13.848425092966353</v>
          </cell>
          <cell r="U36">
            <v>23.336726765344995</v>
          </cell>
          <cell r="V36">
            <v>36.415028498352413</v>
          </cell>
        </row>
        <row r="37">
          <cell r="R37">
            <v>0.60038852152549604</v>
          </cell>
          <cell r="S37">
            <v>25</v>
          </cell>
          <cell r="T37">
            <v>14.611407745667057</v>
          </cell>
          <cell r="U37">
            <v>24.336587429322748</v>
          </cell>
          <cell r="V37">
            <v>37.652484127147211</v>
          </cell>
        </row>
        <row r="38">
          <cell r="R38">
            <v>0.60699707868487918</v>
          </cell>
          <cell r="S38">
            <v>26</v>
          </cell>
          <cell r="T38">
            <v>15.379156749534591</v>
          </cell>
          <cell r="U38">
            <v>25.336459250932634</v>
          </cell>
          <cell r="V38">
            <v>38.885138649352456</v>
          </cell>
        </row>
        <row r="39">
          <cell r="R39">
            <v>0.61327413618544835</v>
          </cell>
          <cell r="S39">
            <v>27</v>
          </cell>
          <cell r="T39">
            <v>16.151396103109903</v>
          </cell>
          <cell r="U39">
            <v>26.336339901061589</v>
          </cell>
          <cell r="V39">
            <v>40.11327205320795</v>
          </cell>
        </row>
        <row r="40">
          <cell r="R40">
            <v>0.61924687809285384</v>
          </cell>
          <cell r="S40">
            <v>28</v>
          </cell>
          <cell r="T40">
            <v>16.927875145813431</v>
          </cell>
          <cell r="U40">
            <v>27.336230096060586</v>
          </cell>
          <cell r="V40">
            <v>41.337138127549622</v>
          </cell>
        </row>
        <row r="41">
          <cell r="R41">
            <v>0.62493951934015557</v>
          </cell>
          <cell r="S41">
            <v>29</v>
          </cell>
          <cell r="T41">
            <v>17.708366334891874</v>
          </cell>
          <cell r="U41">
            <v>28.336128196196185</v>
          </cell>
          <cell r="V41">
            <v>42.556967770410566</v>
          </cell>
        </row>
        <row r="42">
          <cell r="R42">
            <v>0.63037363301754545</v>
          </cell>
          <cell r="S42">
            <v>30</v>
          </cell>
          <cell r="T42">
            <v>18.492661205063968</v>
          </cell>
          <cell r="U42">
            <v>29.336032214007997</v>
          </cell>
          <cell r="V42">
            <v>43.772971779107728</v>
          </cell>
        </row>
        <row r="43">
          <cell r="R43">
            <v>0.63556846012041535</v>
          </cell>
          <cell r="S43">
            <v>31</v>
          </cell>
          <cell r="T43">
            <v>19.28056887999135</v>
          </cell>
          <cell r="U43">
            <v>30.335943473876029</v>
          </cell>
          <cell r="V43">
            <v>44.985343217790884</v>
          </cell>
        </row>
        <row r="44">
          <cell r="R44">
            <v>0.64054132388783602</v>
          </cell>
          <cell r="S44">
            <v>32</v>
          </cell>
          <cell r="T44">
            <v>20.071913596333097</v>
          </cell>
          <cell r="U44">
            <v>31.335860541368994</v>
          </cell>
          <cell r="V44">
            <v>46.194259438116305</v>
          </cell>
        </row>
        <row r="45">
          <cell r="R45">
            <v>0.64530786380791982</v>
          </cell>
          <cell r="S45">
            <v>33</v>
          </cell>
          <cell r="T45">
            <v>20.866534178328408</v>
          </cell>
          <cell r="U45">
            <v>32.335781645672725</v>
          </cell>
          <cell r="V45">
            <v>47.399883813204305</v>
          </cell>
        </row>
        <row r="46">
          <cell r="R46">
            <v>0.64988212291066838</v>
          </cell>
          <cell r="S46">
            <v>34</v>
          </cell>
          <cell r="T46">
            <v>21.664280975174016</v>
          </cell>
          <cell r="U46">
            <v>33.335708448394954</v>
          </cell>
          <cell r="V46">
            <v>48.602367378888246</v>
          </cell>
        </row>
        <row r="47">
          <cell r="R47">
            <v>0.65427689177012593</v>
          </cell>
          <cell r="S47">
            <v>35</v>
          </cell>
          <cell r="T47">
            <v>22.465015582833903</v>
          </cell>
          <cell r="U47">
            <v>34.335639643416869</v>
          </cell>
          <cell r="V47">
            <v>49.801849583107625</v>
          </cell>
        </row>
        <row r="48">
          <cell r="R48">
            <v>0.65850376682016898</v>
          </cell>
          <cell r="S48">
            <v>36</v>
          </cell>
          <cell r="T48">
            <v>23.268609171292397</v>
          </cell>
          <cell r="U48">
            <v>35.335574895271371</v>
          </cell>
          <cell r="V48">
            <v>50.998460184664999</v>
          </cell>
        </row>
        <row r="49">
          <cell r="R49">
            <v>0.66257336945514744</v>
          </cell>
          <cell r="S49">
            <v>37</v>
          </cell>
          <cell r="T49">
            <v>24.074942765371677</v>
          </cell>
          <cell r="U49">
            <v>36.335512224358148</v>
          </cell>
          <cell r="V49">
            <v>52.192319753944858</v>
          </cell>
        </row>
        <row r="50">
          <cell r="R50">
            <v>0.6664952974732995</v>
          </cell>
          <cell r="S50">
            <v>38</v>
          </cell>
          <cell r="T50">
            <v>24.883904665295773</v>
          </cell>
          <cell r="U50">
            <v>37.335454217953654</v>
          </cell>
          <cell r="V50">
            <v>53.383540652645308</v>
          </cell>
        </row>
        <row r="51">
          <cell r="R51">
            <v>0.6702784161218458</v>
          </cell>
          <cell r="S51">
            <v>39</v>
          </cell>
          <cell r="T51">
            <v>25.695390775798231</v>
          </cell>
          <cell r="U51">
            <v>38.33539937697654</v>
          </cell>
          <cell r="V51">
            <v>54.57222779551055</v>
          </cell>
        </row>
        <row r="52">
          <cell r="R52">
            <v>0.67393086485696307</v>
          </cell>
          <cell r="S52">
            <v>40</v>
          </cell>
          <cell r="T52">
            <v>26.509303692885283</v>
          </cell>
          <cell r="U52">
            <v>39.33534591639706</v>
          </cell>
          <cell r="V52">
            <v>55.758479323524035</v>
          </cell>
        </row>
        <row r="53">
          <cell r="R53">
            <v>0.67746004519806946</v>
          </cell>
          <cell r="S53">
            <v>41</v>
          </cell>
          <cell r="T53">
            <v>27.325551685369561</v>
          </cell>
          <cell r="U53">
            <v>40.335296345602742</v>
          </cell>
          <cell r="V53">
            <v>56.942387200825529</v>
          </cell>
        </row>
        <row r="54">
          <cell r="R54">
            <v>0.68087286911330402</v>
          </cell>
          <cell r="S54">
            <v>42</v>
          </cell>
          <cell r="T54">
            <v>28.14404977975704</v>
          </cell>
          <cell r="U54">
            <v>41.335249290236575</v>
          </cell>
          <cell r="V54">
            <v>58.124037745654398</v>
          </cell>
        </row>
        <row r="55">
          <cell r="R55">
            <v>0.68417567155876624</v>
          </cell>
          <cell r="S55">
            <v>43</v>
          </cell>
          <cell r="T55">
            <v>28.964717038012203</v>
          </cell>
          <cell r="U55">
            <v>42.335204600335345</v>
          </cell>
          <cell r="V55">
            <v>59.303512104019106</v>
          </cell>
        </row>
        <row r="56">
          <cell r="R56">
            <v>0.6873743478825407</v>
          </cell>
          <cell r="S56">
            <v>44</v>
          </cell>
          <cell r="T56">
            <v>29.787477555271963</v>
          </cell>
          <cell r="U56">
            <v>43.335160305345113</v>
          </cell>
          <cell r="V56">
            <v>60.480886673466941</v>
          </cell>
        </row>
        <row r="57">
          <cell r="R57">
            <v>0.69047427222705937</v>
          </cell>
          <cell r="S57">
            <v>45</v>
          </cell>
          <cell r="T57">
            <v>30.612259355767421</v>
          </cell>
          <cell r="U57">
            <v>44.335119478138523</v>
          </cell>
          <cell r="V57">
            <v>61.656233483232313</v>
          </cell>
        </row>
        <row r="58">
          <cell r="R58">
            <v>0.69348052639309599</v>
          </cell>
          <cell r="S58">
            <v>46</v>
          </cell>
          <cell r="T58">
            <v>31.4389955369119</v>
          </cell>
          <cell r="U58">
            <v>45.335080568781336</v>
          </cell>
          <cell r="V58">
            <v>62.829620536128594</v>
          </cell>
        </row>
        <row r="59">
          <cell r="R59">
            <v>0.69639781423348079</v>
          </cell>
          <cell r="S59">
            <v>47</v>
          </cell>
          <cell r="T59">
            <v>32.267621874375017</v>
          </cell>
          <cell r="U59">
            <v>46.335041860939377</v>
          </cell>
          <cell r="V59">
            <v>64.001112116788079</v>
          </cell>
        </row>
        <row r="60">
          <cell r="R60">
            <v>0.69923045534728934</v>
          </cell>
          <cell r="S60">
            <v>48</v>
          </cell>
          <cell r="T60">
            <v>33.098077864858595</v>
          </cell>
          <cell r="U60">
            <v>47.335006093834473</v>
          </cell>
          <cell r="V60">
            <v>65.170769070208792</v>
          </cell>
        </row>
        <row r="61">
          <cell r="R61">
            <v>0.7019825362462454</v>
          </cell>
          <cell r="S61">
            <v>49</v>
          </cell>
          <cell r="T61">
            <v>33.93030616465532</v>
          </cell>
          <cell r="U61">
            <v>48.334971901285385</v>
          </cell>
          <cell r="V61">
            <v>66.338649054034619</v>
          </cell>
        </row>
        <row r="62">
          <cell r="R62">
            <v>0.70465784472842297</v>
          </cell>
          <cell r="S62">
            <v>50</v>
          </cell>
          <cell r="T62">
            <v>34.764251931613472</v>
          </cell>
          <cell r="U62">
            <v>49.334939207285359</v>
          </cell>
          <cell r="V62">
            <v>67.504806524293258</v>
          </cell>
        </row>
        <row r="63">
          <cell r="R63">
            <v>0.70725996988606743</v>
          </cell>
          <cell r="S63">
            <v>51</v>
          </cell>
          <cell r="T63">
            <v>35.59986424916525</v>
          </cell>
          <cell r="U63">
            <v>50.33490620839185</v>
          </cell>
          <cell r="V63">
            <v>68.669293882732845</v>
          </cell>
        </row>
        <row r="64">
          <cell r="R64">
            <v>0.70979218266541055</v>
          </cell>
          <cell r="S64">
            <v>52</v>
          </cell>
          <cell r="T64">
            <v>36.43709362321615</v>
          </cell>
          <cell r="U64">
            <v>51.334875915916165</v>
          </cell>
          <cell r="V64">
            <v>69.832160305483924</v>
          </cell>
        </row>
        <row r="65">
          <cell r="R65">
            <v>0.71225761623343409</v>
          </cell>
          <cell r="S65">
            <v>53</v>
          </cell>
          <cell r="T65">
            <v>37.275893278095936</v>
          </cell>
          <cell r="U65">
            <v>52.334846870741217</v>
          </cell>
          <cell r="V65">
            <v>70.993452794064325</v>
          </cell>
        </row>
        <row r="66">
          <cell r="R66">
            <v>0.7146591916982874</v>
          </cell>
          <cell r="S66">
            <v>54</v>
          </cell>
          <cell r="T66">
            <v>38.116218650203365</v>
          </cell>
          <cell r="U66">
            <v>53.334819019994015</v>
          </cell>
          <cell r="V66">
            <v>72.153216121372054</v>
          </cell>
        </row>
        <row r="67">
          <cell r="R67">
            <v>0.71699965312880964</v>
          </cell>
          <cell r="S67">
            <v>55</v>
          </cell>
          <cell r="T67">
            <v>38.958027244380872</v>
          </cell>
          <cell r="U67">
            <v>54.33479231737094</v>
          </cell>
          <cell r="V67">
            <v>73.31149297688215</v>
          </cell>
        </row>
        <row r="68">
          <cell r="R68">
            <v>0.71928159986021001</v>
          </cell>
          <cell r="S68">
            <v>56</v>
          </cell>
          <cell r="T68">
            <v>39.801277966412727</v>
          </cell>
          <cell r="U68">
            <v>55.334764540269035</v>
          </cell>
          <cell r="V68">
            <v>74.468324099903043</v>
          </cell>
        </row>
        <row r="69">
          <cell r="R69">
            <v>0.721507427789152</v>
          </cell>
          <cell r="S69">
            <v>57</v>
          </cell>
          <cell r="T69">
            <v>40.64593303798857</v>
          </cell>
          <cell r="U69">
            <v>56.334739563993288</v>
          </cell>
          <cell r="V69">
            <v>75.623748402070618</v>
          </cell>
        </row>
        <row r="70">
          <cell r="R70">
            <v>0.72367944222380853</v>
          </cell>
          <cell r="S70">
            <v>58</v>
          </cell>
          <cell r="T70">
            <v>41.491954973157789</v>
          </cell>
          <cell r="U70">
            <v>57.334715555351906</v>
          </cell>
          <cell r="V70">
            <v>76.777803080123803</v>
          </cell>
        </row>
        <row r="71">
          <cell r="R71">
            <v>0.72579980334245897</v>
          </cell>
          <cell r="S71">
            <v>59</v>
          </cell>
          <cell r="T71">
            <v>42.339308331014635</v>
          </cell>
          <cell r="U71">
            <v>58.334692481361003</v>
          </cell>
          <cell r="V71">
            <v>77.930523719887915</v>
          </cell>
        </row>
        <row r="72">
          <cell r="R72">
            <v>0.72787057754829887</v>
          </cell>
          <cell r="S72">
            <v>60</v>
          </cell>
          <cell r="T72">
            <v>43.187959176104158</v>
          </cell>
          <cell r="U72">
            <v>59.334668151548357</v>
          </cell>
          <cell r="V72">
            <v>79.081944392288847</v>
          </cell>
        </row>
        <row r="73">
          <cell r="R73">
            <v>0.72989364463207063</v>
          </cell>
          <cell r="S73">
            <v>61</v>
          </cell>
          <cell r="T73">
            <v>44.037874990458789</v>
          </cell>
          <cell r="U73">
            <v>60.334646443808509</v>
          </cell>
          <cell r="V73">
            <v>80.232097742132538</v>
          </cell>
        </row>
        <row r="74">
          <cell r="R74">
            <v>0.73187084114433199</v>
          </cell>
          <cell r="S74">
            <v>62</v>
          </cell>
          <cell r="T74">
            <v>44.889023978349968</v>
          </cell>
          <cell r="U74">
            <v>61.334625530596071</v>
          </cell>
          <cell r="V74">
            <v>81.381015070305338</v>
          </cell>
        </row>
        <row r="75">
          <cell r="R75">
            <v>0.73380391281251667</v>
          </cell>
          <cell r="S75">
            <v>63</v>
          </cell>
          <cell r="T75">
            <v>45.741377337221749</v>
          </cell>
          <cell r="U75">
            <v>62.334605387840782</v>
          </cell>
          <cell r="V75">
            <v>82.528726409980322</v>
          </cell>
        </row>
        <row r="76">
          <cell r="R76">
            <v>0.73569451228132221</v>
          </cell>
          <cell r="S76">
            <v>64</v>
          </cell>
          <cell r="T76">
            <v>46.594905815184305</v>
          </cell>
          <cell r="U76">
            <v>63.334583903171591</v>
          </cell>
          <cell r="V76">
            <v>83.675260597356981</v>
          </cell>
        </row>
        <row r="77">
          <cell r="R77">
            <v>0.73754414767715493</v>
          </cell>
          <cell r="S77">
            <v>65</v>
          </cell>
          <cell r="T77">
            <v>47.44958180456031</v>
          </cell>
          <cell r="U77">
            <v>64.334564858252264</v>
          </cell>
          <cell r="V77">
            <v>84.820645337404514</v>
          </cell>
        </row>
        <row r="78">
          <cell r="R78">
            <v>0.73935431360026527</v>
          </cell>
          <cell r="S78">
            <v>66</v>
          </cell>
          <cell r="T78">
            <v>48.305378762030784</v>
          </cell>
          <cell r="U78">
            <v>65.334546473136925</v>
          </cell>
          <cell r="V78">
            <v>85.964907265033787</v>
          </cell>
        </row>
        <row r="79">
          <cell r="R79">
            <v>0.74112641023388504</v>
          </cell>
          <cell r="S79">
            <v>67</v>
          </cell>
          <cell r="T79">
            <v>49.162271152103912</v>
          </cell>
          <cell r="U79">
            <v>66.334528729841452</v>
          </cell>
          <cell r="V79">
            <v>87.108072002082082</v>
          </cell>
        </row>
        <row r="80">
          <cell r="R80">
            <v>0.74286175890085904</v>
          </cell>
          <cell r="S80">
            <v>68</v>
          </cell>
          <cell r="T80">
            <v>50.020233731502245</v>
          </cell>
          <cell r="U80">
            <v>67.334511612917538</v>
          </cell>
          <cell r="V80">
            <v>88.250164210452866</v>
          </cell>
        </row>
        <row r="81">
          <cell r="R81">
            <v>0.74456166973534454</v>
          </cell>
          <cell r="S81">
            <v>69</v>
          </cell>
          <cell r="T81">
            <v>50.87924404531303</v>
          </cell>
          <cell r="U81">
            <v>68.334492780696223</v>
          </cell>
          <cell r="V81">
            <v>89.391207641726069</v>
          </cell>
        </row>
        <row r="82">
          <cell r="R82">
            <v>0.74622729312702762</v>
          </cell>
          <cell r="S82">
            <v>70</v>
          </cell>
          <cell r="T82">
            <v>51.739278708263974</v>
          </cell>
          <cell r="U82">
            <v>69.334476485647087</v>
          </cell>
          <cell r="V82">
            <v>90.531225183517677</v>
          </cell>
        </row>
        <row r="83">
          <cell r="R83">
            <v>0.74785979980640016</v>
          </cell>
          <cell r="S83">
            <v>71</v>
          </cell>
          <cell r="T83">
            <v>52.600315721090695</v>
          </cell>
          <cell r="U83">
            <v>70.334460730082611</v>
          </cell>
          <cell r="V83">
            <v>91.670238902849775</v>
          </cell>
        </row>
        <row r="84">
          <cell r="R84">
            <v>0.74946028506351847</v>
          </cell>
          <cell r="S84">
            <v>72</v>
          </cell>
          <cell r="T84">
            <v>53.462333860916502</v>
          </cell>
          <cell r="U84">
            <v>71.334445502186213</v>
          </cell>
          <cell r="V84">
            <v>92.80827008675945</v>
          </cell>
        </row>
        <row r="85">
          <cell r="R85">
            <v>0.75102979381484036</v>
          </cell>
          <cell r="S85">
            <v>73</v>
          </cell>
          <cell r="T85">
            <v>54.325312643455412</v>
          </cell>
          <cell r="U85">
            <v>72.334430792034368</v>
          </cell>
          <cell r="V85">
            <v>93.945339656250212</v>
          </cell>
        </row>
        <row r="86">
          <cell r="R86">
            <v>0.75256933991868535</v>
          </cell>
          <cell r="S86">
            <v>74</v>
          </cell>
          <cell r="T86">
            <v>55.189231603476841</v>
          </cell>
          <cell r="U86">
            <v>73.334414087929758</v>
          </cell>
          <cell r="V86">
            <v>95.081466729294789</v>
          </cell>
        </row>
        <row r="87">
          <cell r="R87">
            <v>0.75407984593692146</v>
          </cell>
          <cell r="S87">
            <v>75</v>
          </cell>
          <cell r="T87">
            <v>56.054072897533288</v>
          </cell>
          <cell r="U87">
            <v>74.334399996976174</v>
          </cell>
          <cell r="V87">
            <v>96.216670818880488</v>
          </cell>
        </row>
        <row r="88">
          <cell r="R88">
            <v>0.75556223674116552</v>
          </cell>
          <cell r="S88">
            <v>76</v>
          </cell>
          <cell r="T88">
            <v>56.91981745699524</v>
          </cell>
          <cell r="U88">
            <v>75.334386353793349</v>
          </cell>
          <cell r="V88">
            <v>97.350970450079174</v>
          </cell>
        </row>
        <row r="89">
          <cell r="R89">
            <v>0.75701738328335355</v>
          </cell>
          <cell r="S89">
            <v>77</v>
          </cell>
          <cell r="T89">
            <v>57.786447417032605</v>
          </cell>
          <cell r="U89">
            <v>76.334373150587197</v>
          </cell>
          <cell r="V89">
            <v>98.48438353641383</v>
          </cell>
        </row>
        <row r="90">
          <cell r="R90">
            <v>0.75844611897135539</v>
          </cell>
          <cell r="S90">
            <v>78</v>
          </cell>
          <cell r="T90">
            <v>58.653945494107646</v>
          </cell>
          <cell r="U90">
            <v>77.334360381007968</v>
          </cell>
          <cell r="V90">
            <v>99.616927407754503</v>
          </cell>
        </row>
        <row r="91">
          <cell r="R91">
            <v>0.7598492670997381</v>
          </cell>
          <cell r="S91">
            <v>79</v>
          </cell>
          <cell r="T91">
            <v>59.522294959855429</v>
          </cell>
          <cell r="U91">
            <v>78.334345424909799</v>
          </cell>
          <cell r="V91">
            <v>100.74861883660188</v>
          </cell>
        </row>
        <row r="92">
          <cell r="R92">
            <v>0.76122754472279408</v>
          </cell>
          <cell r="S92">
            <v>80</v>
          </cell>
          <cell r="T92">
            <v>60.391479616454468</v>
          </cell>
          <cell r="U92">
            <v>79.334333124330669</v>
          </cell>
          <cell r="V92">
            <v>101.87947406286436</v>
          </cell>
        </row>
        <row r="93">
          <cell r="R93">
            <v>0.76258169714859181</v>
          </cell>
          <cell r="S93">
            <v>81</v>
          </cell>
          <cell r="T93">
            <v>61.261482999920787</v>
          </cell>
          <cell r="U93">
            <v>80.334321199927473</v>
          </cell>
          <cell r="V93">
            <v>103.00950881724157</v>
          </cell>
        </row>
        <row r="94">
          <cell r="R94">
            <v>0.76391244506185685</v>
          </cell>
          <cell r="S94">
            <v>82</v>
          </cell>
          <cell r="T94">
            <v>62.132291349515384</v>
          </cell>
          <cell r="U94">
            <v>81.334309646551574</v>
          </cell>
          <cell r="V94">
            <v>104.13873834329812</v>
          </cell>
        </row>
        <row r="95">
          <cell r="R95">
            <v>0.76522045394102944</v>
          </cell>
          <cell r="S95">
            <v>83</v>
          </cell>
          <cell r="T95">
            <v>63.003889242608423</v>
          </cell>
          <cell r="U95">
            <v>82.334298460171226</v>
          </cell>
          <cell r="V95">
            <v>105.26717741832962</v>
          </cell>
        </row>
        <row r="96">
          <cell r="R96">
            <v>0.76650639535525578</v>
          </cell>
          <cell r="S96">
            <v>84</v>
          </cell>
          <cell r="T96">
            <v>63.876262382716725</v>
          </cell>
          <cell r="U96">
            <v>83.334284971114613</v>
          </cell>
          <cell r="V96">
            <v>106.39484037308569</v>
          </cell>
        </row>
        <row r="97">
          <cell r="R97">
            <v>0.76777084475574331</v>
          </cell>
          <cell r="S97">
            <v>85</v>
          </cell>
          <cell r="T97">
            <v>64.749396899738485</v>
          </cell>
          <cell r="U97">
            <v>84.3342741418342</v>
          </cell>
          <cell r="V97">
            <v>107.52174111043823</v>
          </cell>
        </row>
        <row r="98">
          <cell r="R98">
            <v>0.7690144209318156</v>
          </cell>
          <cell r="S98">
            <v>86</v>
          </cell>
          <cell r="T98">
            <v>65.623279332374793</v>
          </cell>
          <cell r="U98">
            <v>85.334263631700168</v>
          </cell>
          <cell r="V98">
            <v>108.64789312305717</v>
          </cell>
        </row>
        <row r="99">
          <cell r="R99">
            <v>0.77023769783055207</v>
          </cell>
          <cell r="S99">
            <v>87</v>
          </cell>
          <cell r="T99">
            <v>66.49789661147139</v>
          </cell>
          <cell r="U99">
            <v>86.334253437307808</v>
          </cell>
          <cell r="V99">
            <v>109.773309510156</v>
          </cell>
        </row>
        <row r="100">
          <cell r="R100">
            <v>0.77144121786119335</v>
          </cell>
          <cell r="S100">
            <v>88</v>
          </cell>
          <cell r="T100">
            <v>67.373235209925213</v>
          </cell>
          <cell r="U100">
            <v>87.334243556127674</v>
          </cell>
          <cell r="V100">
            <v>110.89800299337261</v>
          </cell>
        </row>
        <row r="101">
          <cell r="R101">
            <v>0.77262553014499435</v>
          </cell>
          <cell r="S101">
            <v>89</v>
          </cell>
          <cell r="T101">
            <v>68.249284363781257</v>
          </cell>
          <cell r="U101">
            <v>88.334233986512572</v>
          </cell>
          <cell r="V101">
            <v>112.02198593183013</v>
          </cell>
        </row>
        <row r="102">
          <cell r="R102">
            <v>0.77379116333012432</v>
          </cell>
          <cell r="S102">
            <v>90</v>
          </cell>
          <cell r="T102">
            <v>69.126031345516083</v>
          </cell>
          <cell r="U102">
            <v>89.334221714321501</v>
          </cell>
          <cell r="V102">
            <v>113.14527033643904</v>
          </cell>
        </row>
        <row r="103">
          <cell r="R103">
            <v>0.77493856048152765</v>
          </cell>
          <cell r="S103">
            <v>91</v>
          </cell>
          <cell r="T103">
            <v>70.003464503684313</v>
          </cell>
          <cell r="U103">
            <v>90.334212379605802</v>
          </cell>
          <cell r="V103">
            <v>114.26786788347866</v>
          </cell>
        </row>
        <row r="104">
          <cell r="R104">
            <v>0.77606821907308365</v>
          </cell>
          <cell r="S104">
            <v>92</v>
          </cell>
          <cell r="T104">
            <v>70.881572507578213</v>
          </cell>
          <cell r="U104">
            <v>91.334203315576275</v>
          </cell>
          <cell r="V104">
            <v>115.38978992750624</v>
          </cell>
        </row>
        <row r="105">
          <cell r="R105">
            <v>0.77718059606774925</v>
          </cell>
          <cell r="S105">
            <v>93</v>
          </cell>
          <cell r="T105">
            <v>71.760344335012391</v>
          </cell>
          <cell r="U105">
            <v>92.334194520673307</v>
          </cell>
          <cell r="V105">
            <v>116.51104751363376</v>
          </cell>
        </row>
        <row r="106">
          <cell r="R106">
            <v>0.7782761320202658</v>
          </cell>
          <cell r="S106">
            <v>94</v>
          </cell>
          <cell r="T106">
            <v>72.639769260699353</v>
          </cell>
          <cell r="U106">
            <v>93.334185994037213</v>
          </cell>
          <cell r="V106">
            <v>117.63165138920448</v>
          </cell>
        </row>
        <row r="107">
          <cell r="R107">
            <v>0.77935526694256352</v>
          </cell>
          <cell r="S107">
            <v>95</v>
          </cell>
          <cell r="T107">
            <v>73.519835978117825</v>
          </cell>
          <cell r="U107">
            <v>94.334174793658065</v>
          </cell>
          <cell r="V107">
            <v>118.75161201491663</v>
          </cell>
        </row>
        <row r="108">
          <cell r="R108">
            <v>0.78041838235715855</v>
          </cell>
          <cell r="S108">
            <v>96</v>
          </cell>
          <cell r="T108">
            <v>74.400535960221731</v>
          </cell>
          <cell r="U108">
            <v>95.3341664448036</v>
          </cell>
          <cell r="V108">
            <v>119.87093957541055</v>
          </cell>
        </row>
        <row r="109">
          <cell r="R109">
            <v>0.78146588743419931</v>
          </cell>
          <cell r="S109">
            <v>97</v>
          </cell>
          <cell r="T109">
            <v>75.281858529131981</v>
          </cell>
          <cell r="U109">
            <v>96.334158329426543</v>
          </cell>
          <cell r="V109">
            <v>120.98964398936417</v>
          </cell>
        </row>
        <row r="110">
          <cell r="R110">
            <v>0.78249816422606944</v>
          </cell>
          <cell r="S110">
            <v>98</v>
          </cell>
          <cell r="T110">
            <v>76.163794040957441</v>
          </cell>
          <cell r="U110">
            <v>97.334150446585795</v>
          </cell>
          <cell r="V110">
            <v>122.10773491911402</v>
          </cell>
        </row>
        <row r="111">
          <cell r="R111">
            <v>0.78351558174679947</v>
          </cell>
          <cell r="S111">
            <v>99</v>
          </cell>
          <cell r="T111">
            <v>77.046333098298518</v>
          </cell>
          <cell r="U111">
            <v>98.334142795894991</v>
          </cell>
          <cell r="V111">
            <v>123.22522177983828</v>
          </cell>
        </row>
        <row r="112">
          <cell r="R112">
            <v>0.78451849654043193</v>
          </cell>
          <cell r="S112">
            <v>100</v>
          </cell>
          <cell r="T112">
            <v>77.929466541524818</v>
          </cell>
          <cell r="U112">
            <v>99.334135377531595</v>
          </cell>
          <cell r="V112">
            <v>124.34211374831577</v>
          </cell>
        </row>
        <row r="113">
          <cell r="R113">
            <v>0.78550727796749564</v>
          </cell>
          <cell r="S113">
            <v>101</v>
          </cell>
          <cell r="T113">
            <v>78.813185440444187</v>
          </cell>
          <cell r="U113">
            <v>100.3341250311184</v>
          </cell>
          <cell r="V113">
            <v>125.45841977129511</v>
          </cell>
        </row>
        <row r="114">
          <cell r="R114">
            <v>0.78648221231552695</v>
          </cell>
          <cell r="S114">
            <v>102</v>
          </cell>
          <cell r="T114">
            <v>79.697481086342009</v>
          </cell>
          <cell r="U114">
            <v>101.33411771856878</v>
          </cell>
          <cell r="V114">
            <v>126.57414857348722</v>
          </cell>
        </row>
        <row r="115">
          <cell r="R115">
            <v>0.787443634776816</v>
          </cell>
          <cell r="S115">
            <v>103</v>
          </cell>
          <cell r="T115">
            <v>80.582344018720164</v>
          </cell>
          <cell r="U115">
            <v>102.33411060787799</v>
          </cell>
          <cell r="V115">
            <v>127.68930866520014</v>
          </cell>
        </row>
        <row r="116">
          <cell r="R116">
            <v>0.78839187514687203</v>
          </cell>
          <cell r="S116">
            <v>104</v>
          </cell>
          <cell r="T116">
            <v>81.467767781823596</v>
          </cell>
          <cell r="U116">
            <v>103.33410369893362</v>
          </cell>
          <cell r="V116">
            <v>128.803908349652</v>
          </cell>
        </row>
        <row r="117">
          <cell r="R117">
            <v>0.78932722653622944</v>
          </cell>
          <cell r="S117">
            <v>105</v>
          </cell>
          <cell r="T117">
            <v>82.353743411922423</v>
          </cell>
          <cell r="U117">
            <v>104.33409699208248</v>
          </cell>
          <cell r="V117">
            <v>129.91795519424386</v>
          </cell>
        </row>
        <row r="118">
          <cell r="R118">
            <v>0.79024998105658639</v>
          </cell>
          <cell r="S118">
            <v>106</v>
          </cell>
          <cell r="T118">
            <v>83.240263012852068</v>
          </cell>
          <cell r="U118">
            <v>105.33409048812314</v>
          </cell>
          <cell r="V118">
            <v>131.03145815281496</v>
          </cell>
        </row>
        <row r="119">
          <cell r="R119">
            <v>0.79116044628294868</v>
          </cell>
          <cell r="S119">
            <v>107</v>
          </cell>
          <cell r="T119">
            <v>84.127318875026319</v>
          </cell>
          <cell r="U119">
            <v>106.33408086852111</v>
          </cell>
          <cell r="V119">
            <v>132.14442443864539</v>
          </cell>
        </row>
        <row r="120">
          <cell r="R120">
            <v>0.7920588492642211</v>
          </cell>
          <cell r="S120">
            <v>108</v>
          </cell>
          <cell r="T120">
            <v>85.014903469326043</v>
          </cell>
          <cell r="U120">
            <v>107.33407441669289</v>
          </cell>
          <cell r="V120">
            <v>133.25686159350687</v>
          </cell>
        </row>
        <row r="121">
          <cell r="R121">
            <v>0.79294547795965697</v>
          </cell>
          <cell r="S121">
            <v>109</v>
          </cell>
          <cell r="T121">
            <v>85.903009441246212</v>
          </cell>
          <cell r="U121">
            <v>108.33406814083217</v>
          </cell>
          <cell r="V121">
            <v>134.36877698416276</v>
          </cell>
        </row>
        <row r="122">
          <cell r="R122">
            <v>0.7938205810689728</v>
          </cell>
          <cell r="S122">
            <v>110</v>
          </cell>
          <cell r="T122">
            <v>86.791628660290996</v>
          </cell>
          <cell r="U122">
            <v>109.33406204134423</v>
          </cell>
          <cell r="V122">
            <v>135.48017780800217</v>
          </cell>
        </row>
        <row r="123">
          <cell r="R123">
            <v>0.79468442462866495</v>
          </cell>
          <cell r="S123">
            <v>111</v>
          </cell>
          <cell r="T123">
            <v>87.680755903877241</v>
          </cell>
          <cell r="U123">
            <v>110.33405611900365</v>
          </cell>
          <cell r="V123">
            <v>136.59107109844345</v>
          </cell>
        </row>
        <row r="124">
          <cell r="R124">
            <v>0.79553724263897885</v>
          </cell>
          <cell r="S124">
            <v>112</v>
          </cell>
          <cell r="T124">
            <v>88.570383447127028</v>
          </cell>
          <cell r="U124">
            <v>111.33405037496274</v>
          </cell>
          <cell r="V124">
            <v>137.70146373011357</v>
          </cell>
        </row>
        <row r="125">
          <cell r="R125">
            <v>0.79637929403515861</v>
          </cell>
          <cell r="S125">
            <v>113</v>
          </cell>
          <cell r="T125">
            <v>89.460504579679821</v>
          </cell>
          <cell r="U125">
            <v>112.33404139175209</v>
          </cell>
          <cell r="V125">
            <v>138.81136242382752</v>
          </cell>
        </row>
        <row r="126">
          <cell r="R126">
            <v>0.79721076032865379</v>
          </cell>
          <cell r="S126">
            <v>114</v>
          </cell>
          <cell r="T126">
            <v>90.351112739899861</v>
          </cell>
          <cell r="U126">
            <v>113.33403566034683</v>
          </cell>
          <cell r="V126">
            <v>139.92077375135827</v>
          </cell>
        </row>
        <row r="127">
          <cell r="R127">
            <v>0.79803188467870279</v>
          </cell>
          <cell r="S127">
            <v>115</v>
          </cell>
          <cell r="T127">
            <v>91.242201510305534</v>
          </cell>
          <cell r="U127">
            <v>114.33403008332272</v>
          </cell>
          <cell r="V127">
            <v>141.02970414002863</v>
          </cell>
        </row>
        <row r="128">
          <cell r="R128">
            <v>0.79884288165333561</v>
          </cell>
          <cell r="S128">
            <v>116</v>
          </cell>
          <cell r="T128">
            <v>92.13376461317813</v>
          </cell>
          <cell r="U128">
            <v>115.33402466138557</v>
          </cell>
          <cell r="V128">
            <v>142.13815987711331</v>
          </cell>
        </row>
        <row r="129">
          <cell r="R129">
            <v>0.7996439596060575</v>
          </cell>
          <cell r="S129">
            <v>117</v>
          </cell>
          <cell r="T129">
            <v>93.025795906340875</v>
          </cell>
          <cell r="U129">
            <v>116.33401939554423</v>
          </cell>
          <cell r="V129">
            <v>143.24614711407736</v>
          </cell>
        </row>
        <row r="130">
          <cell r="R130">
            <v>0.80043532090601932</v>
          </cell>
          <cell r="S130">
            <v>118</v>
          </cell>
          <cell r="T130">
            <v>93.91828937910185</v>
          </cell>
          <cell r="U130">
            <v>117.33401428711937</v>
          </cell>
          <cell r="V130">
            <v>144.35367187064557</v>
          </cell>
        </row>
        <row r="131">
          <cell r="R131">
            <v>0.80121717649674473</v>
          </cell>
          <cell r="S131">
            <v>119</v>
          </cell>
          <cell r="T131">
            <v>94.811238070885949</v>
          </cell>
          <cell r="U131">
            <v>118.33400587521123</v>
          </cell>
          <cell r="V131">
            <v>145.46074003872218</v>
          </cell>
        </row>
        <row r="132">
          <cell r="R132">
            <v>0.80198969011679733</v>
          </cell>
          <cell r="S132">
            <v>120</v>
          </cell>
          <cell r="T132">
            <v>95.704638282675063</v>
          </cell>
          <cell r="U132">
            <v>119.3340007509787</v>
          </cell>
          <cell r="V132">
            <v>146.56735738615535</v>
          </cell>
        </row>
        <row r="133">
          <cell r="R133">
            <v>0.80275306054104734</v>
          </cell>
          <cell r="S133">
            <v>121</v>
          </cell>
          <cell r="T133">
            <v>96.598483385767111</v>
          </cell>
          <cell r="U133">
            <v>120.33399576285728</v>
          </cell>
          <cell r="V133">
            <v>147.67352956036683</v>
          </cell>
        </row>
        <row r="134">
          <cell r="R134">
            <v>0.80350746831019837</v>
          </cell>
          <cell r="S134">
            <v>122</v>
          </cell>
          <cell r="T134">
            <v>97.492767857442516</v>
          </cell>
          <cell r="U134">
            <v>121.33399091171223</v>
          </cell>
          <cell r="V134">
            <v>148.77926209183948</v>
          </cell>
        </row>
        <row r="135">
          <cell r="R135">
            <v>0.80425308898687875</v>
          </cell>
          <cell r="S135">
            <v>123</v>
          </cell>
          <cell r="T135">
            <v>98.387486288345571</v>
          </cell>
          <cell r="U135">
            <v>122.33398619865388</v>
          </cell>
          <cell r="V135">
            <v>149.88456039748377</v>
          </cell>
        </row>
        <row r="136">
          <cell r="R136">
            <v>0.80499009333119798</v>
          </cell>
          <cell r="S136">
            <v>124</v>
          </cell>
          <cell r="T136">
            <v>99.282633379262563</v>
          </cell>
          <cell r="U136">
            <v>123.33398162505659</v>
          </cell>
          <cell r="V136">
            <v>150.98942978387163</v>
          </cell>
        </row>
        <row r="137">
          <cell r="R137">
            <v>0.8057186474688679</v>
          </cell>
          <cell r="S137">
            <v>125</v>
          </cell>
          <cell r="T137">
            <v>100.17820393800316</v>
          </cell>
          <cell r="U137">
            <v>124.33397719254592</v>
          </cell>
          <cell r="V137">
            <v>152.09387545036225</v>
          </cell>
        </row>
        <row r="138">
          <cell r="R138">
            <v>0.80643893734623973</v>
          </cell>
          <cell r="S138">
            <v>126</v>
          </cell>
          <cell r="T138">
            <v>101.07419287640732</v>
          </cell>
          <cell r="U138">
            <v>125.33396912730136</v>
          </cell>
          <cell r="V138">
            <v>153.19790249210604</v>
          </cell>
        </row>
        <row r="139">
          <cell r="R139">
            <v>0.80715106508293322</v>
          </cell>
          <cell r="S139">
            <v>127</v>
          </cell>
          <cell r="T139">
            <v>101.97059411412482</v>
          </cell>
          <cell r="U139">
            <v>126.3339646385123</v>
          </cell>
          <cell r="V139">
            <v>154.30151590295043</v>
          </cell>
        </row>
        <row r="140">
          <cell r="R140">
            <v>0.80785522291296286</v>
          </cell>
          <cell r="S140">
            <v>128</v>
          </cell>
          <cell r="T140">
            <v>102.86740485921032</v>
          </cell>
          <cell r="U140">
            <v>127.33396027111297</v>
          </cell>
          <cell r="V140">
            <v>155.40472057823251</v>
          </cell>
        </row>
        <row r="141">
          <cell r="R141">
            <v>0.80855155192089256</v>
          </cell>
          <cell r="S141">
            <v>129</v>
          </cell>
          <cell r="T141">
            <v>103.76461930916237</v>
          </cell>
          <cell r="U141">
            <v>128.33395602623807</v>
          </cell>
          <cell r="V141">
            <v>156.5075213174818</v>
          </cell>
        </row>
        <row r="142">
          <cell r="R142">
            <v>0.80924019734889108</v>
          </cell>
          <cell r="S142">
            <v>130</v>
          </cell>
          <cell r="T142">
            <v>104.66223276370165</v>
          </cell>
          <cell r="U142">
            <v>129.33395190523166</v>
          </cell>
          <cell r="V142">
            <v>157.60992282702514</v>
          </cell>
        </row>
        <row r="143">
          <cell r="R143">
            <v>0.80992130067493728</v>
          </cell>
          <cell r="S143">
            <v>131</v>
          </cell>
          <cell r="T143">
            <v>105.56024061309196</v>
          </cell>
          <cell r="U143">
            <v>130.33394790966076</v>
          </cell>
          <cell r="V143">
            <v>158.71192972249537</v>
          </cell>
        </row>
        <row r="144">
          <cell r="R144">
            <v>0.81059502262053074</v>
          </cell>
          <cell r="S144">
            <v>132</v>
          </cell>
          <cell r="T144">
            <v>106.4586383357145</v>
          </cell>
          <cell r="U144">
            <v>131.33394033379315</v>
          </cell>
          <cell r="V144">
            <v>159.81354653127039</v>
          </cell>
        </row>
        <row r="145">
          <cell r="R145">
            <v>0.811261453569876</v>
          </cell>
          <cell r="S145">
            <v>133</v>
          </cell>
          <cell r="T145">
            <v>107.35742149573518</v>
          </cell>
          <cell r="U145">
            <v>132.33393627087722</v>
          </cell>
          <cell r="V145">
            <v>160.91477769480576</v>
          </cell>
        </row>
        <row r="146">
          <cell r="R146">
            <v>0.8119207456089923</v>
          </cell>
          <cell r="S146">
            <v>134</v>
          </cell>
          <cell r="T146">
            <v>108.25658574084142</v>
          </cell>
          <cell r="U146">
            <v>133.33393231582238</v>
          </cell>
          <cell r="V146">
            <v>162.01562757090929</v>
          </cell>
        </row>
        <row r="147">
          <cell r="R147">
            <v>0.81257302636436068</v>
          </cell>
          <cell r="S147">
            <v>135</v>
          </cell>
          <cell r="T147">
            <v>109.15612680006107</v>
          </cell>
          <cell r="U147">
            <v>134.33392846972879</v>
          </cell>
          <cell r="V147">
            <v>163.11610043592634</v>
          </cell>
        </row>
        <row r="148">
          <cell r="R148">
            <v>0.81321841162298536</v>
          </cell>
          <cell r="S148">
            <v>136</v>
          </cell>
          <cell r="T148">
            <v>110.05603931078639</v>
          </cell>
          <cell r="U148">
            <v>135.33392473387488</v>
          </cell>
          <cell r="V148">
            <v>164.21620048685662</v>
          </cell>
        </row>
        <row r="149">
          <cell r="R149">
            <v>0.81385703944806875</v>
          </cell>
          <cell r="S149">
            <v>137</v>
          </cell>
          <cell r="T149">
            <v>110.95632141070217</v>
          </cell>
          <cell r="U149">
            <v>136.33392110971863</v>
          </cell>
          <cell r="V149">
            <v>165.31593184340045</v>
          </cell>
        </row>
        <row r="150">
          <cell r="R150">
            <v>0.81448902011352964</v>
          </cell>
          <cell r="S150">
            <v>138</v>
          </cell>
          <cell r="T150">
            <v>111.85696797348179</v>
          </cell>
          <cell r="U150">
            <v>137.33391759890185</v>
          </cell>
          <cell r="V150">
            <v>166.41529854993587</v>
          </cell>
        </row>
        <row r="151">
          <cell r="R151">
            <v>0.81511449209060916</v>
          </cell>
          <cell r="S151">
            <v>139</v>
          </cell>
          <cell r="T151">
            <v>112.75797503282547</v>
          </cell>
          <cell r="U151">
            <v>138.33391029967254</v>
          </cell>
          <cell r="V151">
            <v>167.5143045774353</v>
          </cell>
        </row>
        <row r="152">
          <cell r="R152">
            <v>0.81573352378733799</v>
          </cell>
          <cell r="S152">
            <v>140</v>
          </cell>
          <cell r="T152">
            <v>113.65933869388346</v>
          </cell>
          <cell r="U152">
            <v>139.33390669808304</v>
          </cell>
          <cell r="V152">
            <v>168.61295382531614</v>
          </cell>
        </row>
        <row r="153">
          <cell r="R153">
            <v>0.81634624651928922</v>
          </cell>
          <cell r="S153">
            <v>141</v>
          </cell>
          <cell r="T153">
            <v>114.56105513147257</v>
          </cell>
          <cell r="U153">
            <v>140.33390319357051</v>
          </cell>
          <cell r="V153">
            <v>169.71125012323267</v>
          </cell>
        </row>
        <row r="154">
          <cell r="R154">
            <v>0.81695276760987146</v>
          </cell>
          <cell r="S154">
            <v>142</v>
          </cell>
          <cell r="T154">
            <v>115.46312058834361</v>
          </cell>
          <cell r="U154">
            <v>141.33389978731549</v>
          </cell>
          <cell r="V154">
            <v>170.80919723281139</v>
          </cell>
        </row>
        <row r="155">
          <cell r="R155">
            <v>0.81755319183101893</v>
          </cell>
          <cell r="S155">
            <v>143</v>
          </cell>
          <cell r="T155">
            <v>116.36553137350532</v>
          </cell>
          <cell r="U155">
            <v>142.333896480655</v>
          </cell>
          <cell r="V155">
            <v>171.90679884932945</v>
          </cell>
        </row>
        <row r="156">
          <cell r="R156">
            <v>0.81814762148091824</v>
          </cell>
          <cell r="S156">
            <v>144</v>
          </cell>
          <cell r="T156">
            <v>117.26828386060264</v>
          </cell>
          <cell r="U156">
            <v>143.3338932750753</v>
          </cell>
          <cell r="V156">
            <v>173.00405860334621</v>
          </cell>
        </row>
        <row r="157">
          <cell r="R157">
            <v>0.81873614799345384</v>
          </cell>
          <cell r="S157">
            <v>145</v>
          </cell>
          <cell r="T157">
            <v>118.17137326451643</v>
          </cell>
          <cell r="U157">
            <v>144.33389017222342</v>
          </cell>
          <cell r="V157">
            <v>174.10098006227182</v>
          </cell>
        </row>
        <row r="158">
          <cell r="R158">
            <v>0.81931890812641006</v>
          </cell>
          <cell r="S158">
            <v>146</v>
          </cell>
          <cell r="T158">
            <v>119.07479843981159</v>
          </cell>
          <cell r="U158">
            <v>145.33388312996181</v>
          </cell>
          <cell r="V158">
            <v>175.19756673190275</v>
          </cell>
        </row>
        <row r="159">
          <cell r="R159">
            <v>0.81989594529332532</v>
          </cell>
          <cell r="S159">
            <v>147</v>
          </cell>
          <cell r="T159">
            <v>119.97855480518945</v>
          </cell>
          <cell r="U159">
            <v>146.33387991968422</v>
          </cell>
          <cell r="V159">
            <v>176.29382205789381</v>
          </cell>
        </row>
        <row r="160">
          <cell r="R160">
            <v>0.82046737386707691</v>
          </cell>
          <cell r="S160">
            <v>148</v>
          </cell>
          <cell r="T160">
            <v>120.88263897736678</v>
          </cell>
          <cell r="U160">
            <v>147.33387679709352</v>
          </cell>
          <cell r="V160">
            <v>177.38974942719722</v>
          </cell>
        </row>
        <row r="161">
          <cell r="R161">
            <v>0.82103328484877713</v>
          </cell>
          <cell r="S161">
            <v>149</v>
          </cell>
          <cell r="T161">
            <v>121.78704763030156</v>
          </cell>
          <cell r="U161">
            <v>148.33387376339198</v>
          </cell>
          <cell r="V161">
            <v>178.48535216945294</v>
          </cell>
        </row>
        <row r="162">
          <cell r="R162">
            <v>0.82159376717557953</v>
          </cell>
          <cell r="S162">
            <v>150</v>
          </cell>
          <cell r="T162">
            <v>122.69177749384664</v>
          </cell>
          <cell r="U162">
            <v>149.33387081991663</v>
          </cell>
          <cell r="V162">
            <v>179.58063430658277</v>
          </cell>
        </row>
        <row r="163">
          <cell r="R163">
            <v>0.82214890778070293</v>
          </cell>
          <cell r="S163">
            <v>151</v>
          </cell>
          <cell r="T163">
            <v>123.59682535244414</v>
          </cell>
          <cell r="U163">
            <v>150.33386796812715</v>
          </cell>
          <cell r="V163">
            <v>180.67559758525255</v>
          </cell>
        </row>
        <row r="164">
          <cell r="R164">
            <v>0.82269879165120019</v>
          </cell>
          <cell r="S164">
            <v>152</v>
          </cell>
          <cell r="T164">
            <v>124.50218804386004</v>
          </cell>
          <cell r="U164">
            <v>151.33386520962009</v>
          </cell>
          <cell r="V164">
            <v>181.77024589571806</v>
          </cell>
        </row>
        <row r="165">
          <cell r="R165">
            <v>0.82324352420598335</v>
          </cell>
          <cell r="S165">
            <v>153</v>
          </cell>
          <cell r="T165">
            <v>125.40786245795444</v>
          </cell>
          <cell r="U165">
            <v>152.33385841560073</v>
          </cell>
          <cell r="V165">
            <v>182.86458235145977</v>
          </cell>
        </row>
        <row r="166">
          <cell r="R166">
            <v>0.8237831435976134</v>
          </cell>
          <cell r="S166">
            <v>154</v>
          </cell>
          <cell r="T166">
            <v>126.31384553549108</v>
          </cell>
          <cell r="U166">
            <v>153.33385553855248</v>
          </cell>
          <cell r="V166">
            <v>183.95861001499907</v>
          </cell>
        </row>
        <row r="167">
          <cell r="R167">
            <v>0.82431774154462689</v>
          </cell>
          <cell r="S167">
            <v>155</v>
          </cell>
          <cell r="T167">
            <v>127.22013293526993</v>
          </cell>
          <cell r="U167">
            <v>154.33385274091239</v>
          </cell>
          <cell r="V167">
            <v>185.05233189905485</v>
          </cell>
        </row>
        <row r="168">
          <cell r="R168">
            <v>0.8248474125352081</v>
          </cell>
          <cell r="S168">
            <v>156</v>
          </cell>
          <cell r="T168">
            <v>128.12672427131326</v>
          </cell>
          <cell r="U168">
            <v>155.33385002386032</v>
          </cell>
          <cell r="V168">
            <v>186.14575096767527</v>
          </cell>
        </row>
        <row r="169">
          <cell r="R169">
            <v>0.82537222448990466</v>
          </cell>
          <cell r="S169">
            <v>157</v>
          </cell>
          <cell r="T169">
            <v>129.03361538226898</v>
          </cell>
          <cell r="U169">
            <v>156.33384738869077</v>
          </cell>
          <cell r="V169">
            <v>187.23887013732195</v>
          </cell>
        </row>
        <row r="170">
          <cell r="R170">
            <v>0.82589225182824211</v>
          </cell>
          <cell r="S170">
            <v>158</v>
          </cell>
          <cell r="T170">
            <v>129.94080340106379</v>
          </cell>
          <cell r="U170">
            <v>157.33384483680459</v>
          </cell>
          <cell r="V170">
            <v>188.33169227794542</v>
          </cell>
        </row>
        <row r="171">
          <cell r="R171">
            <v>0.82640756737604759</v>
          </cell>
          <cell r="S171">
            <v>159</v>
          </cell>
          <cell r="T171">
            <v>130.84828550606056</v>
          </cell>
          <cell r="U171">
            <v>158.33384236971719</v>
          </cell>
          <cell r="V171">
            <v>189.42422021400876</v>
          </cell>
        </row>
        <row r="172">
          <cell r="R172">
            <v>0.82691826403510338</v>
          </cell>
          <cell r="S172">
            <v>160</v>
          </cell>
          <cell r="T172">
            <v>131.75605892005711</v>
          </cell>
          <cell r="U172">
            <v>159.33383582209035</v>
          </cell>
          <cell r="V172">
            <v>190.51645672549245</v>
          </cell>
        </row>
        <row r="173">
          <cell r="R173">
            <v>0.82742436974698186</v>
          </cell>
          <cell r="S173">
            <v>161</v>
          </cell>
          <cell r="T173">
            <v>132.66412090931243</v>
          </cell>
          <cell r="U173">
            <v>160.3338332298332</v>
          </cell>
          <cell r="V173">
            <v>191.60840454886858</v>
          </cell>
        </row>
        <row r="174">
          <cell r="R174">
            <v>0.82792597309007998</v>
          </cell>
          <cell r="S174">
            <v>162</v>
          </cell>
          <cell r="T174">
            <v>133.57246878260241</v>
          </cell>
          <cell r="U174">
            <v>161.33383070960798</v>
          </cell>
          <cell r="V174">
            <v>192.70006637804983</v>
          </cell>
        </row>
        <row r="175">
          <cell r="R175">
            <v>0.82842314094140312</v>
          </cell>
          <cell r="S175">
            <v>163</v>
          </cell>
          <cell r="T175">
            <v>134.48109989029939</v>
          </cell>
          <cell r="U175">
            <v>162.33382826254444</v>
          </cell>
          <cell r="V175">
            <v>193.79144486530745</v>
          </cell>
        </row>
        <row r="176">
          <cell r="R176">
            <v>0.82891593064000946</v>
          </cell>
          <cell r="S176">
            <v>164</v>
          </cell>
          <cell r="T176">
            <v>135.39001029249732</v>
          </cell>
          <cell r="U176">
            <v>163.33382588987297</v>
          </cell>
          <cell r="V176">
            <v>194.88254262217077</v>
          </cell>
        </row>
        <row r="177">
          <cell r="R177">
            <v>0.82940442215994958</v>
          </cell>
          <cell r="S177">
            <v>165</v>
          </cell>
          <cell r="T177">
            <v>136.29919999841127</v>
          </cell>
          <cell r="U177">
            <v>164.33382359290837</v>
          </cell>
          <cell r="V177">
            <v>195.97336222029696</v>
          </cell>
        </row>
        <row r="178">
          <cell r="R178">
            <v>0.82988867061080318</v>
          </cell>
          <cell r="S178">
            <v>166</v>
          </cell>
          <cell r="T178">
            <v>137.20866522630249</v>
          </cell>
          <cell r="U178">
            <v>165.33382137307171</v>
          </cell>
          <cell r="V178">
            <v>197.06390619231411</v>
          </cell>
        </row>
        <row r="179">
          <cell r="R179">
            <v>0.83036873752969009</v>
          </cell>
          <cell r="S179">
            <v>167</v>
          </cell>
          <cell r="T179">
            <v>138.11840348406639</v>
          </cell>
          <cell r="U179">
            <v>166.33381923187821</v>
          </cell>
          <cell r="V179">
            <v>198.15417703265226</v>
          </cell>
        </row>
        <row r="180">
          <cell r="R180">
            <v>0.83084470527626841</v>
          </cell>
          <cell r="S180">
            <v>168</v>
          </cell>
          <cell r="T180">
            <v>139.0284123169622</v>
          </cell>
          <cell r="U180">
            <v>167.33381272584887</v>
          </cell>
          <cell r="V180">
            <v>199.24417719833914</v>
          </cell>
        </row>
        <row r="181">
          <cell r="R181">
            <v>0.83131659016315307</v>
          </cell>
          <cell r="S181">
            <v>169</v>
          </cell>
          <cell r="T181">
            <v>139.93868930683442</v>
          </cell>
          <cell r="U181">
            <v>168.33381044322746</v>
          </cell>
          <cell r="V181">
            <v>200.33390910978352</v>
          </cell>
        </row>
        <row r="182">
          <cell r="R182">
            <v>0.8317844708392147</v>
          </cell>
          <cell r="S182">
            <v>170</v>
          </cell>
          <cell r="T182">
            <v>140.84923207135077</v>
          </cell>
          <cell r="U182">
            <v>169.33380822707997</v>
          </cell>
          <cell r="V182">
            <v>201.42337515153525</v>
          </cell>
        </row>
        <row r="183">
          <cell r="R183">
            <v>0.83224840404194633</v>
          </cell>
          <cell r="S183">
            <v>171</v>
          </cell>
          <cell r="T183">
            <v>141.76003826326738</v>
          </cell>
          <cell r="U183">
            <v>170.33380607855452</v>
          </cell>
          <cell r="V183">
            <v>202.51257767302323</v>
          </cell>
        </row>
        <row r="184">
          <cell r="R184">
            <v>0.83270844538446587</v>
          </cell>
          <cell r="S184">
            <v>172</v>
          </cell>
          <cell r="T184">
            <v>142.67110556971286</v>
          </cell>
          <cell r="U184">
            <v>171.33380399887847</v>
          </cell>
          <cell r="V184">
            <v>203.60151898927512</v>
          </cell>
        </row>
        <row r="185">
          <cell r="R185">
            <v>0.833164649384043</v>
          </cell>
          <cell r="S185">
            <v>173</v>
          </cell>
          <cell r="T185">
            <v>143.58243171148027</v>
          </cell>
          <cell r="U185">
            <v>172.33380198935527</v>
          </cell>
          <cell r="V185">
            <v>204.69020138162324</v>
          </cell>
        </row>
        <row r="186">
          <cell r="R186">
            <v>0.83361706948971137</v>
          </cell>
          <cell r="S186">
            <v>174</v>
          </cell>
          <cell r="T186">
            <v>144.4940144423559</v>
          </cell>
          <cell r="U186">
            <v>173.33380005139071</v>
          </cell>
          <cell r="V186">
            <v>205.77862709837453</v>
          </cell>
        </row>
        <row r="187">
          <cell r="R187">
            <v>0.83406574967256231</v>
          </cell>
          <cell r="S187">
            <v>175</v>
          </cell>
          <cell r="T187">
            <v>145.40585007765083</v>
          </cell>
          <cell r="U187">
            <v>174.33379818645506</v>
          </cell>
          <cell r="V187">
            <v>206.86679835549415</v>
          </cell>
        </row>
        <row r="188">
          <cell r="R188">
            <v>0.83451077998311107</v>
          </cell>
          <cell r="S188">
            <v>176</v>
          </cell>
          <cell r="T188">
            <v>146.31793929070278</v>
          </cell>
          <cell r="U188">
            <v>175.33379172605055</v>
          </cell>
          <cell r="V188">
            <v>207.95471733723969</v>
          </cell>
        </row>
        <row r="189">
          <cell r="R189">
            <v>0.83495215968107783</v>
          </cell>
          <cell r="S189">
            <v>177</v>
          </cell>
          <cell r="T189">
            <v>147.23027854145869</v>
          </cell>
          <cell r="U189">
            <v>176.33378970801806</v>
          </cell>
          <cell r="V189">
            <v>209.04238619679631</v>
          </cell>
        </row>
        <row r="190">
          <cell r="R190">
            <v>0.83538995916929704</v>
          </cell>
          <cell r="S190">
            <v>178</v>
          </cell>
          <cell r="T190">
            <v>148.14286570903565</v>
          </cell>
          <cell r="U190">
            <v>177.33378775146801</v>
          </cell>
          <cell r="V190">
            <v>210.1298070568925</v>
          </cell>
        </row>
        <row r="191">
          <cell r="R191">
            <v>0.83582422694406844</v>
          </cell>
          <cell r="S191">
            <v>179</v>
          </cell>
          <cell r="T191">
            <v>149.05569870237912</v>
          </cell>
          <cell r="U191">
            <v>178.33378585753007</v>
          </cell>
          <cell r="V191">
            <v>211.21698201039936</v>
          </cell>
        </row>
        <row r="192">
          <cell r="R192">
            <v>0.83625501058277896</v>
          </cell>
          <cell r="S192">
            <v>180</v>
          </cell>
          <cell r="T192">
            <v>149.96877545968613</v>
          </cell>
          <cell r="U192">
            <v>179.33378402740351</v>
          </cell>
          <cell r="V192">
            <v>212.30391312091768</v>
          </cell>
        </row>
        <row r="193">
          <cell r="R193">
            <v>0.83668235676617486</v>
          </cell>
          <cell r="S193">
            <v>181</v>
          </cell>
          <cell r="T193">
            <v>150.88209394782743</v>
          </cell>
          <cell r="U193">
            <v>180.33378226235743</v>
          </cell>
          <cell r="V193">
            <v>213.39060242334602</v>
          </cell>
        </row>
        <row r="194">
          <cell r="R194">
            <v>0.83710631130004165</v>
          </cell>
          <cell r="S194">
            <v>182</v>
          </cell>
          <cell r="T194">
            <v>151.79565216180305</v>
          </cell>
          <cell r="U194">
            <v>181.33378056373937</v>
          </cell>
          <cell r="V194">
            <v>214.47705192443328</v>
          </cell>
        </row>
        <row r="195">
          <cell r="R195">
            <v>0.83752691913621102</v>
          </cell>
          <cell r="S195">
            <v>183</v>
          </cell>
          <cell r="T195">
            <v>152.70944812419415</v>
          </cell>
          <cell r="U195">
            <v>182.33377893297097</v>
          </cell>
          <cell r="V195">
            <v>215.56326360332599</v>
          </cell>
        </row>
        <row r="196">
          <cell r="R196">
            <v>0.83794424652022914</v>
          </cell>
          <cell r="S196">
            <v>184</v>
          </cell>
          <cell r="T196">
            <v>153.62347988463665</v>
          </cell>
          <cell r="U196">
            <v>183.33377253032785</v>
          </cell>
          <cell r="V196">
            <v>216.64923941209705</v>
          </cell>
        </row>
        <row r="197">
          <cell r="R197">
            <v>0.83835828561591097</v>
          </cell>
          <cell r="S197">
            <v>185</v>
          </cell>
          <cell r="T197">
            <v>154.53774401763414</v>
          </cell>
          <cell r="U197">
            <v>184.33377073872532</v>
          </cell>
          <cell r="V197">
            <v>217.73498127625649</v>
          </cell>
        </row>
        <row r="198">
          <cell r="R198">
            <v>0.83876911574778046</v>
          </cell>
          <cell r="S198">
            <v>186</v>
          </cell>
          <cell r="T198">
            <v>155.45224154573552</v>
          </cell>
          <cell r="U198">
            <v>185.33376900405608</v>
          </cell>
          <cell r="V198">
            <v>218.82049109525781</v>
          </cell>
        </row>
        <row r="199">
          <cell r="R199">
            <v>0.83917677089371057</v>
          </cell>
          <cell r="S199">
            <v>187</v>
          </cell>
          <cell r="T199">
            <v>156.36696917427662</v>
          </cell>
          <cell r="U199">
            <v>186.33376732741084</v>
          </cell>
          <cell r="V199">
            <v>219.90577074298966</v>
          </cell>
        </row>
        <row r="200">
          <cell r="R200">
            <v>0.83958129203194509</v>
          </cell>
          <cell r="S200">
            <v>188</v>
          </cell>
          <cell r="T200">
            <v>157.28192505595862</v>
          </cell>
          <cell r="U200">
            <v>187.33376570993704</v>
          </cell>
          <cell r="V200">
            <v>220.99082206825454</v>
          </cell>
        </row>
        <row r="201">
          <cell r="R201">
            <v>0.839982719400718</v>
          </cell>
          <cell r="S201">
            <v>189</v>
          </cell>
          <cell r="T201">
            <v>158.19710736808736</v>
          </cell>
          <cell r="U201">
            <v>188.33376415285352</v>
          </cell>
          <cell r="V201">
            <v>222.07564689523377</v>
          </cell>
        </row>
        <row r="202">
          <cell r="R202">
            <v>0.84038109251540161</v>
          </cell>
          <cell r="S202">
            <v>190</v>
          </cell>
          <cell r="T202">
            <v>159.1125143121086</v>
          </cell>
          <cell r="U202">
            <v>189.33376265743695</v>
          </cell>
          <cell r="V202">
            <v>223.1602470239514</v>
          </cell>
        </row>
        <row r="203">
          <cell r="R203">
            <v>0.84077645018514291</v>
          </cell>
          <cell r="S203">
            <v>191</v>
          </cell>
          <cell r="T203">
            <v>160.02814411317235</v>
          </cell>
          <cell r="U203">
            <v>190.33376122503597</v>
          </cell>
          <cell r="V203">
            <v>224.24462423070636</v>
          </cell>
        </row>
        <row r="204">
          <cell r="R204">
            <v>0.84116885233360439</v>
          </cell>
          <cell r="S204">
            <v>192</v>
          </cell>
          <cell r="T204">
            <v>160.94399501968644</v>
          </cell>
          <cell r="U204">
            <v>191.33375489735403</v>
          </cell>
          <cell r="V204">
            <v>225.32878026852637</v>
          </cell>
        </row>
        <row r="205">
          <cell r="R205">
            <v>0.84155829398634718</v>
          </cell>
          <cell r="S205">
            <v>193</v>
          </cell>
          <cell r="T205">
            <v>161.86006530290663</v>
          </cell>
          <cell r="U205">
            <v>192.33375329972392</v>
          </cell>
          <cell r="V205">
            <v>226.41271686757457</v>
          </cell>
        </row>
        <row r="206">
          <cell r="R206">
            <v>0.8419448325966844</v>
          </cell>
          <cell r="S206">
            <v>194</v>
          </cell>
          <cell r="T206">
            <v>162.77635325651266</v>
          </cell>
          <cell r="U206">
            <v>193.33375175483403</v>
          </cell>
          <cell r="V206">
            <v>227.49643573557799</v>
          </cell>
        </row>
        <row r="207">
          <cell r="R207">
            <v>0.84232850430800865</v>
          </cell>
          <cell r="S207">
            <v>195</v>
          </cell>
          <cell r="T207">
            <v>163.69285719620683</v>
          </cell>
          <cell r="U207">
            <v>194.33375026372175</v>
          </cell>
          <cell r="V207">
            <v>228.5799385582217</v>
          </cell>
        </row>
        <row r="208">
          <cell r="R208">
            <v>0.84270933649990576</v>
          </cell>
          <cell r="S208">
            <v>196</v>
          </cell>
          <cell r="T208">
            <v>164.60957387044584</v>
          </cell>
          <cell r="U208">
            <v>195.33374882748109</v>
          </cell>
          <cell r="V208">
            <v>229.66322699955765</v>
          </cell>
        </row>
        <row r="209">
          <cell r="R209">
            <v>0.84308737995950167</v>
          </cell>
          <cell r="S209">
            <v>197</v>
          </cell>
          <cell r="T209">
            <v>165.52650473293806</v>
          </cell>
          <cell r="U209">
            <v>196.3337474472566</v>
          </cell>
          <cell r="V209">
            <v>230.74630270238032</v>
          </cell>
        </row>
        <row r="210">
          <cell r="R210">
            <v>0.84346266121416635</v>
          </cell>
          <cell r="S210">
            <v>198</v>
          </cell>
          <cell r="T210">
            <v>166.44364665332111</v>
          </cell>
          <cell r="U210">
            <v>197.33374612425061</v>
          </cell>
          <cell r="V210">
            <v>231.8291672886109</v>
          </cell>
        </row>
        <row r="211">
          <cell r="R211">
            <v>0.84383521397115091</v>
          </cell>
          <cell r="S211">
            <v>199</v>
          </cell>
          <cell r="T211">
            <v>167.36099803140533</v>
          </cell>
          <cell r="U211">
            <v>198.33374485972456</v>
          </cell>
          <cell r="V211">
            <v>232.911822359665</v>
          </cell>
        </row>
        <row r="212">
          <cell r="R212">
            <v>0.84420509265674837</v>
          </cell>
          <cell r="S212">
            <v>200</v>
          </cell>
          <cell r="T212">
            <v>168.2785572871334</v>
          </cell>
          <cell r="U212">
            <v>199.33373862689433</v>
          </cell>
          <cell r="V212">
            <v>233.99426949681305</v>
          </cell>
        </row>
      </sheetData>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dimension ref="A1:R32"/>
  <sheetViews>
    <sheetView zoomScale="85" zoomScaleNormal="85" workbookViewId="0">
      <selection activeCell="B15" sqref="B15:R17"/>
    </sheetView>
  </sheetViews>
  <sheetFormatPr baseColWidth="10" defaultColWidth="11.44140625" defaultRowHeight="14.4" x14ac:dyDescent="0.3"/>
  <cols>
    <col min="1" max="1" width="18.77734375" style="141" bestFit="1" customWidth="1"/>
    <col min="2" max="16384" width="11.44140625" style="141"/>
  </cols>
  <sheetData>
    <row r="1" spans="1:18" x14ac:dyDescent="0.3">
      <c r="A1" s="141" t="s">
        <v>454</v>
      </c>
      <c r="B1" s="141" t="s">
        <v>1381</v>
      </c>
      <c r="C1" s="141" t="s">
        <v>1382</v>
      </c>
    </row>
    <row r="2" spans="1:18" x14ac:dyDescent="0.3">
      <c r="A2" s="141" t="s">
        <v>427</v>
      </c>
      <c r="B2" s="141" t="s">
        <v>428</v>
      </c>
      <c r="C2" s="141" t="s">
        <v>429</v>
      </c>
      <c r="D2" s="141" t="s">
        <v>430</v>
      </c>
      <c r="E2" s="141" t="s">
        <v>431</v>
      </c>
      <c r="F2" s="141" t="s">
        <v>432</v>
      </c>
      <c r="G2" s="141" t="s">
        <v>433</v>
      </c>
      <c r="H2" s="141" t="s">
        <v>434</v>
      </c>
      <c r="I2" s="141" t="s">
        <v>435</v>
      </c>
      <c r="J2" s="141" t="s">
        <v>436</v>
      </c>
      <c r="K2" s="141" t="s">
        <v>437</v>
      </c>
      <c r="L2" s="141" t="s">
        <v>438</v>
      </c>
      <c r="M2" s="141" t="s">
        <v>439</v>
      </c>
      <c r="N2" s="141" t="s">
        <v>440</v>
      </c>
      <c r="O2" s="141" t="s">
        <v>441</v>
      </c>
      <c r="P2" s="141" t="s">
        <v>442</v>
      </c>
      <c r="Q2" s="141" t="s">
        <v>443</v>
      </c>
      <c r="R2" s="141" t="s">
        <v>444</v>
      </c>
    </row>
    <row r="3" spans="1:18" x14ac:dyDescent="0.3">
      <c r="A3" s="143" t="s">
        <v>1308</v>
      </c>
      <c r="B3" s="143">
        <f t="shared" ref="B3:B32" si="0">IF(VLOOKUP($A3,Matriz_DataSheets,21,0)="gamma",6,4)</f>
        <v>6</v>
      </c>
      <c r="C3" s="143">
        <f t="shared" ref="C3:C32" si="1">VLOOKUP($A3,Matriz_DataSheets,22,0)</f>
        <v>3.4190461078823828</v>
      </c>
      <c r="D3" s="143">
        <f t="shared" ref="D3:D32" si="2">VLOOKUP($A3,Matriz_DataSheets,24,0)</f>
        <v>10532.201581070127</v>
      </c>
      <c r="E3" s="225">
        <f t="shared" ref="E3:E32" si="3">VLOOKUP($A3,Matriz_DataSheets,26,0)</f>
        <v>0</v>
      </c>
      <c r="F3" s="143">
        <f t="shared" ref="F3:F32" si="4">IF(VLOOKUP($A3,Matriz_DataSheets,34,0)="gamma",6,4)</f>
        <v>6</v>
      </c>
      <c r="G3" s="143">
        <f t="shared" ref="G3:G32" si="5">VLOOKUP($A3,Matriz_DataSheets,35,0)</f>
        <v>0.93280637032789437</v>
      </c>
      <c r="H3" s="143">
        <f t="shared" ref="H3:H32" si="6">VLOOKUP($A3,Matriz_DataSheets,37,0)</f>
        <v>4.9313556878723244</v>
      </c>
      <c r="I3" s="143">
        <f t="shared" ref="I3:I32" si="7">VLOOKUP($A3,Matriz_DataSheets,39,0)</f>
        <v>0</v>
      </c>
      <c r="J3" s="143">
        <v>19</v>
      </c>
      <c r="K3" s="143">
        <v>19</v>
      </c>
      <c r="L3" s="143" t="s">
        <v>340</v>
      </c>
      <c r="M3" s="143" t="s">
        <v>455</v>
      </c>
      <c r="N3" s="143" t="s">
        <v>456</v>
      </c>
      <c r="O3" s="143" t="s">
        <v>456</v>
      </c>
      <c r="P3" s="143" t="s">
        <v>455</v>
      </c>
      <c r="Q3" s="143" t="s">
        <v>456</v>
      </c>
      <c r="R3" s="143" t="s">
        <v>456</v>
      </c>
    </row>
    <row r="4" spans="1:18" x14ac:dyDescent="0.3">
      <c r="A4" s="143" t="s">
        <v>1315</v>
      </c>
      <c r="B4" s="143">
        <f t="shared" si="0"/>
        <v>6</v>
      </c>
      <c r="C4" s="143">
        <f t="shared" si="1"/>
        <v>1.9922763363651932</v>
      </c>
      <c r="D4" s="143">
        <f t="shared" si="2"/>
        <v>8793.5949840578687</v>
      </c>
      <c r="E4" s="225">
        <f t="shared" si="3"/>
        <v>0</v>
      </c>
      <c r="F4" s="143">
        <f t="shared" si="4"/>
        <v>6</v>
      </c>
      <c r="G4" s="143" t="e">
        <f t="shared" si="5"/>
        <v>#VALUE!</v>
      </c>
      <c r="H4" s="143" t="e">
        <f t="shared" si="6"/>
        <v>#VALUE!</v>
      </c>
      <c r="I4" s="143">
        <f t="shared" si="7"/>
        <v>0</v>
      </c>
      <c r="J4" s="143">
        <v>19</v>
      </c>
      <c r="K4" s="143">
        <v>19</v>
      </c>
      <c r="L4" s="143" t="s">
        <v>340</v>
      </c>
      <c r="M4" s="143" t="s">
        <v>455</v>
      </c>
      <c r="N4" s="143" t="s">
        <v>456</v>
      </c>
      <c r="O4" s="143" t="s">
        <v>456</v>
      </c>
      <c r="P4" s="143" t="s">
        <v>455</v>
      </c>
      <c r="Q4" s="143" t="s">
        <v>456</v>
      </c>
      <c r="R4" s="143" t="s">
        <v>456</v>
      </c>
    </row>
    <row r="5" spans="1:18" x14ac:dyDescent="0.3">
      <c r="A5" s="143" t="s">
        <v>1316</v>
      </c>
      <c r="B5" s="143">
        <f t="shared" si="0"/>
        <v>6</v>
      </c>
      <c r="C5" s="143">
        <f t="shared" si="1"/>
        <v>2.5205649485580737</v>
      </c>
      <c r="D5" s="143">
        <f t="shared" si="2"/>
        <v>264.23202201322209</v>
      </c>
      <c r="E5" s="225">
        <f t="shared" si="3"/>
        <v>0</v>
      </c>
      <c r="F5" s="143">
        <f t="shared" si="4"/>
        <v>6</v>
      </c>
      <c r="G5" s="143">
        <f t="shared" si="5"/>
        <v>0.8163894615778603</v>
      </c>
      <c r="H5" s="143">
        <f t="shared" si="6"/>
        <v>7.3494334289955452</v>
      </c>
      <c r="I5" s="143">
        <f t="shared" si="7"/>
        <v>0</v>
      </c>
      <c r="J5" s="143">
        <v>19</v>
      </c>
      <c r="K5" s="143">
        <v>19</v>
      </c>
      <c r="L5" s="143" t="s">
        <v>340</v>
      </c>
      <c r="M5" s="143" t="s">
        <v>455</v>
      </c>
      <c r="N5" s="143" t="s">
        <v>456</v>
      </c>
      <c r="O5" s="143" t="s">
        <v>456</v>
      </c>
      <c r="P5" s="143" t="s">
        <v>455</v>
      </c>
      <c r="Q5" s="143" t="s">
        <v>456</v>
      </c>
      <c r="R5" s="143" t="s">
        <v>456</v>
      </c>
    </row>
    <row r="6" spans="1:18" x14ac:dyDescent="0.3">
      <c r="A6" s="143" t="s">
        <v>1317</v>
      </c>
      <c r="B6" s="143">
        <f t="shared" si="0"/>
        <v>6</v>
      </c>
      <c r="C6" s="143">
        <f t="shared" si="1"/>
        <v>5.10561961824438</v>
      </c>
      <c r="D6" s="143">
        <f t="shared" si="2"/>
        <v>1148.5522378167577</v>
      </c>
      <c r="E6" s="225">
        <f t="shared" si="3"/>
        <v>0</v>
      </c>
      <c r="F6" s="143">
        <f t="shared" si="4"/>
        <v>6</v>
      </c>
      <c r="G6" s="143">
        <f t="shared" si="5"/>
        <v>0.71721950227227571</v>
      </c>
      <c r="H6" s="143">
        <f t="shared" si="6"/>
        <v>11.293613704504404</v>
      </c>
      <c r="I6" s="143">
        <f t="shared" si="7"/>
        <v>0</v>
      </c>
      <c r="J6" s="143">
        <v>19</v>
      </c>
      <c r="K6" s="143">
        <v>19</v>
      </c>
      <c r="L6" s="143" t="s">
        <v>340</v>
      </c>
      <c r="M6" s="143" t="s">
        <v>455</v>
      </c>
      <c r="N6" s="143" t="s">
        <v>456</v>
      </c>
      <c r="O6" s="143" t="s">
        <v>456</v>
      </c>
      <c r="P6" s="143" t="s">
        <v>455</v>
      </c>
      <c r="Q6" s="143" t="s">
        <v>456</v>
      </c>
      <c r="R6" s="143" t="s">
        <v>456</v>
      </c>
    </row>
    <row r="7" spans="1:18" x14ac:dyDescent="0.3">
      <c r="A7" s="143" t="s">
        <v>1318</v>
      </c>
      <c r="B7" s="143">
        <f t="shared" si="0"/>
        <v>4</v>
      </c>
      <c r="C7" s="143">
        <f t="shared" si="1"/>
        <v>3831623.9999999995</v>
      </c>
      <c r="D7" s="143">
        <f t="shared" si="2"/>
        <v>0</v>
      </c>
      <c r="E7" s="225">
        <f t="shared" si="3"/>
        <v>0</v>
      </c>
      <c r="F7" s="143">
        <f t="shared" si="4"/>
        <v>4</v>
      </c>
      <c r="G7" s="143">
        <f t="shared" si="5"/>
        <v>5</v>
      </c>
      <c r="H7" s="143">
        <f t="shared" si="6"/>
        <v>0</v>
      </c>
      <c r="I7" s="143">
        <f t="shared" si="7"/>
        <v>0</v>
      </c>
      <c r="J7" s="143">
        <v>19</v>
      </c>
      <c r="K7" s="143">
        <v>19</v>
      </c>
      <c r="L7" s="143" t="s">
        <v>340</v>
      </c>
      <c r="M7" s="143" t="s">
        <v>455</v>
      </c>
      <c r="N7" s="143" t="s">
        <v>456</v>
      </c>
      <c r="O7" s="143" t="s">
        <v>456</v>
      </c>
      <c r="P7" s="143" t="s">
        <v>455</v>
      </c>
      <c r="Q7" s="143" t="s">
        <v>456</v>
      </c>
      <c r="R7" s="143" t="s">
        <v>456</v>
      </c>
    </row>
    <row r="8" spans="1:18" x14ac:dyDescent="0.3">
      <c r="A8" s="143" t="s">
        <v>1319</v>
      </c>
      <c r="B8" s="143">
        <f t="shared" si="0"/>
        <v>6</v>
      </c>
      <c r="C8" s="143">
        <f t="shared" si="1"/>
        <v>1.8810984977857583</v>
      </c>
      <c r="D8" s="143">
        <f t="shared" si="2"/>
        <v>3180.7830631360803</v>
      </c>
      <c r="E8" s="225">
        <f t="shared" si="3"/>
        <v>0</v>
      </c>
      <c r="F8" s="143">
        <f t="shared" si="4"/>
        <v>6</v>
      </c>
      <c r="G8" s="143">
        <f t="shared" si="5"/>
        <v>0.85116334341228606</v>
      </c>
      <c r="H8" s="143">
        <f t="shared" si="6"/>
        <v>6.4617444378545255</v>
      </c>
      <c r="I8" s="143">
        <f t="shared" si="7"/>
        <v>0</v>
      </c>
      <c r="J8" s="143">
        <v>19</v>
      </c>
      <c r="K8" s="143">
        <v>19</v>
      </c>
      <c r="L8" s="143" t="s">
        <v>340</v>
      </c>
      <c r="M8" s="143" t="s">
        <v>455</v>
      </c>
      <c r="N8" s="143" t="s">
        <v>456</v>
      </c>
      <c r="O8" s="143" t="s">
        <v>456</v>
      </c>
      <c r="P8" s="143" t="s">
        <v>455</v>
      </c>
      <c r="Q8" s="143" t="s">
        <v>456</v>
      </c>
      <c r="R8" s="143" t="s">
        <v>456</v>
      </c>
    </row>
    <row r="9" spans="1:18" x14ac:dyDescent="0.3">
      <c r="A9" s="143" t="s">
        <v>1320</v>
      </c>
      <c r="B9" s="143">
        <f t="shared" si="0"/>
        <v>6</v>
      </c>
      <c r="C9" s="143">
        <f t="shared" si="1"/>
        <v>4.539839891542333</v>
      </c>
      <c r="D9" s="143">
        <f t="shared" si="2"/>
        <v>8682.3841283267575</v>
      </c>
      <c r="E9" s="225">
        <f t="shared" si="3"/>
        <v>0</v>
      </c>
      <c r="F9" s="143">
        <f t="shared" si="4"/>
        <v>6</v>
      </c>
      <c r="G9" s="143">
        <f t="shared" si="5"/>
        <v>0.70710011866966505</v>
      </c>
      <c r="H9" s="143">
        <f t="shared" si="6"/>
        <v>11.879505855272267</v>
      </c>
      <c r="I9" s="143">
        <f t="shared" si="7"/>
        <v>0</v>
      </c>
      <c r="J9" s="143">
        <v>19</v>
      </c>
      <c r="K9" s="143">
        <v>19</v>
      </c>
      <c r="L9" s="143" t="s">
        <v>340</v>
      </c>
      <c r="M9" s="143" t="s">
        <v>455</v>
      </c>
      <c r="N9" s="143" t="s">
        <v>456</v>
      </c>
      <c r="O9" s="143" t="s">
        <v>456</v>
      </c>
      <c r="P9" s="143" t="s">
        <v>455</v>
      </c>
      <c r="Q9" s="143" t="s">
        <v>456</v>
      </c>
      <c r="R9" s="143" t="s">
        <v>456</v>
      </c>
    </row>
    <row r="10" spans="1:18" x14ac:dyDescent="0.3">
      <c r="A10" s="143" t="s">
        <v>1321</v>
      </c>
      <c r="B10" s="143">
        <f t="shared" si="0"/>
        <v>6</v>
      </c>
      <c r="C10" s="143">
        <f t="shared" si="1"/>
        <v>16.080039604308777</v>
      </c>
      <c r="D10" s="143">
        <f t="shared" si="2"/>
        <v>5019.281804514254</v>
      </c>
      <c r="E10" s="225">
        <f t="shared" si="3"/>
        <v>0</v>
      </c>
      <c r="F10" s="143">
        <f t="shared" si="4"/>
        <v>6</v>
      </c>
      <c r="G10" s="143">
        <f t="shared" si="5"/>
        <v>1.1524125839334751</v>
      </c>
      <c r="H10" s="143">
        <f t="shared" si="6"/>
        <v>2.6900088069317305</v>
      </c>
      <c r="I10" s="143">
        <f t="shared" si="7"/>
        <v>0</v>
      </c>
      <c r="J10" s="143">
        <v>19</v>
      </c>
      <c r="K10" s="143">
        <v>19</v>
      </c>
      <c r="L10" s="143" t="s">
        <v>340</v>
      </c>
      <c r="M10" s="143" t="s">
        <v>455</v>
      </c>
      <c r="N10" s="143" t="s">
        <v>456</v>
      </c>
      <c r="O10" s="143" t="s">
        <v>456</v>
      </c>
      <c r="P10" s="143" t="s">
        <v>455</v>
      </c>
      <c r="Q10" s="143" t="s">
        <v>456</v>
      </c>
      <c r="R10" s="143" t="s">
        <v>456</v>
      </c>
    </row>
    <row r="11" spans="1:18" x14ac:dyDescent="0.3">
      <c r="A11" s="143" t="s">
        <v>1350</v>
      </c>
      <c r="B11" s="143">
        <f t="shared" si="0"/>
        <v>6</v>
      </c>
      <c r="C11" s="143">
        <f t="shared" si="1"/>
        <v>2.2839535506277469</v>
      </c>
      <c r="D11" s="143">
        <f t="shared" si="2"/>
        <v>589.98972593115445</v>
      </c>
      <c r="E11" s="225">
        <f t="shared" si="3"/>
        <v>0</v>
      </c>
      <c r="F11" s="143">
        <f t="shared" si="4"/>
        <v>6</v>
      </c>
      <c r="G11" s="143">
        <f t="shared" si="5"/>
        <v>0.67294719901085398</v>
      </c>
      <c r="H11" s="143">
        <f t="shared" si="6"/>
        <v>14.265606594560118</v>
      </c>
      <c r="I11" s="143">
        <f t="shared" si="7"/>
        <v>0</v>
      </c>
      <c r="J11" s="143">
        <v>19</v>
      </c>
      <c r="K11" s="143">
        <v>19</v>
      </c>
      <c r="L11" s="143" t="s">
        <v>340</v>
      </c>
      <c r="M11" s="143" t="s">
        <v>455</v>
      </c>
      <c r="N11" s="143" t="s">
        <v>456</v>
      </c>
      <c r="O11" s="143" t="s">
        <v>456</v>
      </c>
      <c r="P11" s="143" t="s">
        <v>455</v>
      </c>
      <c r="Q11" s="143" t="s">
        <v>456</v>
      </c>
      <c r="R11" s="143" t="s">
        <v>456</v>
      </c>
    </row>
    <row r="12" spans="1:18" x14ac:dyDescent="0.3">
      <c r="A12" s="143" t="s">
        <v>1322</v>
      </c>
      <c r="B12" s="143">
        <f t="shared" si="0"/>
        <v>6</v>
      </c>
      <c r="C12" s="143">
        <f t="shared" si="1"/>
        <v>1.8810984977857583</v>
      </c>
      <c r="D12" s="143">
        <f t="shared" si="2"/>
        <v>3180.7830631360803</v>
      </c>
      <c r="E12" s="225">
        <f t="shared" si="3"/>
        <v>0</v>
      </c>
      <c r="F12" s="143">
        <f t="shared" si="4"/>
        <v>6</v>
      </c>
      <c r="G12" s="143">
        <f t="shared" si="5"/>
        <v>0.85116334341228606</v>
      </c>
      <c r="H12" s="143">
        <f t="shared" si="6"/>
        <v>6.4617444378545255</v>
      </c>
      <c r="I12" s="143">
        <f t="shared" si="7"/>
        <v>0</v>
      </c>
      <c r="J12" s="143">
        <v>19</v>
      </c>
      <c r="K12" s="143">
        <v>19</v>
      </c>
      <c r="L12" s="143" t="s">
        <v>340</v>
      </c>
      <c r="M12" s="143" t="s">
        <v>455</v>
      </c>
      <c r="N12" s="143" t="s">
        <v>456</v>
      </c>
      <c r="O12" s="143" t="s">
        <v>456</v>
      </c>
      <c r="P12" s="143" t="s">
        <v>455</v>
      </c>
      <c r="Q12" s="143" t="s">
        <v>456</v>
      </c>
      <c r="R12" s="143" t="s">
        <v>456</v>
      </c>
    </row>
    <row r="13" spans="1:18" x14ac:dyDescent="0.3">
      <c r="A13" s="143" t="s">
        <v>1323</v>
      </c>
      <c r="B13" s="143">
        <f t="shared" si="0"/>
        <v>6</v>
      </c>
      <c r="C13" s="143">
        <f t="shared" si="1"/>
        <v>3.3753173903859759</v>
      </c>
      <c r="D13" s="143">
        <f t="shared" si="2"/>
        <v>2128.2123032820555</v>
      </c>
      <c r="E13" s="225">
        <f t="shared" si="3"/>
        <v>0</v>
      </c>
      <c r="F13" s="143">
        <f t="shared" si="4"/>
        <v>6</v>
      </c>
      <c r="G13" s="143">
        <f t="shared" si="5"/>
        <v>0.6704825553241357</v>
      </c>
      <c r="H13" s="143">
        <f t="shared" si="6"/>
        <v>14.467192208021977</v>
      </c>
      <c r="I13" s="143">
        <f t="shared" si="7"/>
        <v>0</v>
      </c>
      <c r="J13" s="143">
        <v>19</v>
      </c>
      <c r="K13" s="143">
        <v>19</v>
      </c>
      <c r="L13" s="143" t="s">
        <v>340</v>
      </c>
      <c r="M13" s="143" t="s">
        <v>455</v>
      </c>
      <c r="N13" s="143" t="s">
        <v>456</v>
      </c>
      <c r="O13" s="143" t="s">
        <v>456</v>
      </c>
      <c r="P13" s="143" t="s">
        <v>455</v>
      </c>
      <c r="Q13" s="143" t="s">
        <v>456</v>
      </c>
      <c r="R13" s="143" t="s">
        <v>456</v>
      </c>
    </row>
    <row r="14" spans="1:18" x14ac:dyDescent="0.3">
      <c r="A14" s="143" t="s">
        <v>1324</v>
      </c>
      <c r="B14" s="143">
        <f t="shared" si="0"/>
        <v>6</v>
      </c>
      <c r="C14" s="143">
        <f t="shared" si="1"/>
        <v>3.4522720030595853</v>
      </c>
      <c r="D14" s="143">
        <f t="shared" si="2"/>
        <v>892.15323876827802</v>
      </c>
      <c r="E14" s="225">
        <f t="shared" si="3"/>
        <v>0</v>
      </c>
      <c r="F14" s="143">
        <f t="shared" si="4"/>
        <v>6</v>
      </c>
      <c r="G14" s="143">
        <f t="shared" si="5"/>
        <v>0.55467024566612955</v>
      </c>
      <c r="H14" s="143">
        <f t="shared" si="6"/>
        <v>34.254586663796985</v>
      </c>
      <c r="I14" s="143">
        <f t="shared" si="7"/>
        <v>0</v>
      </c>
      <c r="J14" s="143">
        <v>19</v>
      </c>
      <c r="K14" s="143">
        <v>19</v>
      </c>
      <c r="L14" s="143" t="s">
        <v>340</v>
      </c>
      <c r="M14" s="143" t="s">
        <v>455</v>
      </c>
      <c r="N14" s="143" t="s">
        <v>456</v>
      </c>
      <c r="O14" s="143" t="s">
        <v>456</v>
      </c>
      <c r="P14" s="143" t="s">
        <v>455</v>
      </c>
      <c r="Q14" s="143" t="s">
        <v>456</v>
      </c>
      <c r="R14" s="143" t="s">
        <v>456</v>
      </c>
    </row>
    <row r="15" spans="1:18" x14ac:dyDescent="0.3">
      <c r="A15" s="143" t="s">
        <v>1326</v>
      </c>
      <c r="B15" s="143">
        <f t="shared" si="0"/>
        <v>4</v>
      </c>
      <c r="C15" s="143">
        <f t="shared" si="1"/>
        <v>5887596</v>
      </c>
      <c r="D15" s="143">
        <f t="shared" si="2"/>
        <v>0</v>
      </c>
      <c r="E15" s="225">
        <f t="shared" si="3"/>
        <v>0</v>
      </c>
      <c r="F15" s="143">
        <f t="shared" si="4"/>
        <v>4</v>
      </c>
      <c r="G15" s="143">
        <f t="shared" si="5"/>
        <v>18.28</v>
      </c>
      <c r="H15" s="143">
        <f t="shared" si="6"/>
        <v>0</v>
      </c>
      <c r="I15" s="143">
        <f t="shared" si="7"/>
        <v>0</v>
      </c>
      <c r="J15" s="143">
        <v>19</v>
      </c>
      <c r="K15" s="143">
        <v>19</v>
      </c>
      <c r="L15" s="143" t="s">
        <v>340</v>
      </c>
      <c r="M15" s="143" t="s">
        <v>455</v>
      </c>
      <c r="N15" s="143" t="s">
        <v>456</v>
      </c>
      <c r="O15" s="143" t="s">
        <v>456</v>
      </c>
      <c r="P15" s="143" t="s">
        <v>455</v>
      </c>
      <c r="Q15" s="143" t="s">
        <v>456</v>
      </c>
      <c r="R15" s="143" t="s">
        <v>456</v>
      </c>
    </row>
    <row r="16" spans="1:18" x14ac:dyDescent="0.3">
      <c r="A16" s="143" t="s">
        <v>1385</v>
      </c>
      <c r="B16" s="143">
        <f t="shared" si="0"/>
        <v>4</v>
      </c>
      <c r="C16" s="143">
        <f t="shared" si="1"/>
        <v>10699464</v>
      </c>
      <c r="D16" s="143">
        <f t="shared" si="2"/>
        <v>0</v>
      </c>
      <c r="E16" s="225">
        <f t="shared" si="3"/>
        <v>0</v>
      </c>
      <c r="F16" s="143">
        <f t="shared" si="4"/>
        <v>4</v>
      </c>
      <c r="G16" s="143">
        <f t="shared" si="5"/>
        <v>6</v>
      </c>
      <c r="H16" s="143">
        <f t="shared" si="6"/>
        <v>0</v>
      </c>
      <c r="I16" s="143">
        <f t="shared" si="7"/>
        <v>0</v>
      </c>
      <c r="J16" s="143">
        <v>19</v>
      </c>
      <c r="K16" s="143">
        <v>19</v>
      </c>
      <c r="L16" s="143" t="s">
        <v>340</v>
      </c>
      <c r="M16" s="143" t="s">
        <v>455</v>
      </c>
      <c r="N16" s="143" t="s">
        <v>456</v>
      </c>
      <c r="O16" s="143" t="s">
        <v>456</v>
      </c>
      <c r="P16" s="143" t="s">
        <v>455</v>
      </c>
      <c r="Q16" s="143" t="s">
        <v>456</v>
      </c>
      <c r="R16" s="143" t="s">
        <v>456</v>
      </c>
    </row>
    <row r="17" spans="1:18" x14ac:dyDescent="0.3">
      <c r="A17" s="143" t="s">
        <v>1386</v>
      </c>
      <c r="B17" s="143">
        <f t="shared" si="0"/>
        <v>4</v>
      </c>
      <c r="C17" s="143">
        <f t="shared" si="1"/>
        <v>4910856</v>
      </c>
      <c r="D17" s="143">
        <f t="shared" si="2"/>
        <v>0</v>
      </c>
      <c r="E17" s="225">
        <f t="shared" si="3"/>
        <v>0</v>
      </c>
      <c r="F17" s="143">
        <f t="shared" si="4"/>
        <v>4</v>
      </c>
      <c r="G17" s="143">
        <f t="shared" si="5"/>
        <v>1.27</v>
      </c>
      <c r="H17" s="143">
        <f t="shared" si="6"/>
        <v>0</v>
      </c>
      <c r="I17" s="143">
        <f t="shared" si="7"/>
        <v>0</v>
      </c>
      <c r="J17" s="143">
        <v>19</v>
      </c>
      <c r="K17" s="143">
        <v>19</v>
      </c>
      <c r="L17" s="143" t="s">
        <v>340</v>
      </c>
      <c r="M17" s="143" t="s">
        <v>455</v>
      </c>
      <c r="N17" s="143" t="s">
        <v>456</v>
      </c>
      <c r="O17" s="143" t="s">
        <v>456</v>
      </c>
      <c r="P17" s="143" t="s">
        <v>455</v>
      </c>
      <c r="Q17" s="143" t="s">
        <v>456</v>
      </c>
      <c r="R17" s="143" t="s">
        <v>456</v>
      </c>
    </row>
    <row r="18" spans="1:18" x14ac:dyDescent="0.3">
      <c r="A18" s="143" t="s">
        <v>1342</v>
      </c>
      <c r="B18" s="143">
        <f t="shared" si="0"/>
        <v>4</v>
      </c>
      <c r="C18" s="143">
        <f t="shared" si="1"/>
        <v>286274509.80392134</v>
      </c>
      <c r="D18" s="143">
        <f t="shared" si="2"/>
        <v>0</v>
      </c>
      <c r="E18" s="225">
        <f t="shared" si="3"/>
        <v>0</v>
      </c>
      <c r="F18" s="143">
        <f t="shared" si="4"/>
        <v>4</v>
      </c>
      <c r="G18" s="143">
        <f t="shared" si="5"/>
        <v>36</v>
      </c>
      <c r="H18" s="143">
        <f t="shared" si="6"/>
        <v>0</v>
      </c>
      <c r="I18" s="143">
        <f t="shared" si="7"/>
        <v>0</v>
      </c>
      <c r="J18" s="143">
        <v>19</v>
      </c>
      <c r="K18" s="143">
        <v>19</v>
      </c>
      <c r="L18" s="143" t="s">
        <v>340</v>
      </c>
      <c r="M18" s="143" t="s">
        <v>455</v>
      </c>
      <c r="N18" s="143" t="s">
        <v>456</v>
      </c>
      <c r="O18" s="143" t="s">
        <v>456</v>
      </c>
      <c r="P18" s="143" t="s">
        <v>455</v>
      </c>
      <c r="Q18" s="143" t="s">
        <v>456</v>
      </c>
      <c r="R18" s="143" t="s">
        <v>456</v>
      </c>
    </row>
    <row r="19" spans="1:18" x14ac:dyDescent="0.3">
      <c r="A19" s="143" t="s">
        <v>1334</v>
      </c>
      <c r="B19" s="143">
        <f t="shared" si="0"/>
        <v>6</v>
      </c>
      <c r="C19" s="143">
        <f t="shared" si="1"/>
        <v>3.4190461078823828</v>
      </c>
      <c r="D19" s="143">
        <f t="shared" si="2"/>
        <v>10532.201581070127</v>
      </c>
      <c r="E19" s="225">
        <f t="shared" si="3"/>
        <v>0</v>
      </c>
      <c r="F19" s="143">
        <f t="shared" si="4"/>
        <v>6</v>
      </c>
      <c r="G19" s="143">
        <f t="shared" si="5"/>
        <v>0.93280637032789437</v>
      </c>
      <c r="H19" s="143">
        <f t="shared" si="6"/>
        <v>4.9313556878723244</v>
      </c>
      <c r="I19" s="143">
        <f t="shared" si="7"/>
        <v>0</v>
      </c>
      <c r="J19" s="143">
        <v>19</v>
      </c>
      <c r="K19" s="143">
        <v>19</v>
      </c>
      <c r="L19" s="143" t="s">
        <v>340</v>
      </c>
      <c r="M19" s="143" t="s">
        <v>455</v>
      </c>
      <c r="N19" s="143" t="s">
        <v>456</v>
      </c>
      <c r="O19" s="143" t="s">
        <v>456</v>
      </c>
      <c r="P19" s="143" t="s">
        <v>455</v>
      </c>
      <c r="Q19" s="143" t="s">
        <v>456</v>
      </c>
      <c r="R19" s="143" t="s">
        <v>456</v>
      </c>
    </row>
    <row r="20" spans="1:18" x14ac:dyDescent="0.3">
      <c r="A20" s="143" t="s">
        <v>1336</v>
      </c>
      <c r="B20" s="143">
        <f t="shared" si="0"/>
        <v>6</v>
      </c>
      <c r="C20" s="143">
        <f t="shared" si="1"/>
        <v>3.3753173903859759</v>
      </c>
      <c r="D20" s="143">
        <f t="shared" si="2"/>
        <v>2128.2123032820555</v>
      </c>
      <c r="E20" s="225">
        <f t="shared" si="3"/>
        <v>0</v>
      </c>
      <c r="F20" s="143">
        <f t="shared" si="4"/>
        <v>6</v>
      </c>
      <c r="G20" s="143">
        <f t="shared" si="5"/>
        <v>0.6704825553241357</v>
      </c>
      <c r="H20" s="143">
        <f t="shared" si="6"/>
        <v>14.467192208021977</v>
      </c>
      <c r="I20" s="143">
        <f t="shared" si="7"/>
        <v>0</v>
      </c>
      <c r="J20" s="143">
        <v>19</v>
      </c>
      <c r="K20" s="143">
        <v>19</v>
      </c>
      <c r="L20" s="143" t="s">
        <v>340</v>
      </c>
      <c r="M20" s="143" t="s">
        <v>455</v>
      </c>
      <c r="N20" s="143" t="s">
        <v>456</v>
      </c>
      <c r="O20" s="143" t="s">
        <v>456</v>
      </c>
      <c r="P20" s="143" t="s">
        <v>455</v>
      </c>
      <c r="Q20" s="143" t="s">
        <v>456</v>
      </c>
      <c r="R20" s="143" t="s">
        <v>456</v>
      </c>
    </row>
    <row r="21" spans="1:18" x14ac:dyDescent="0.3">
      <c r="A21" s="143" t="s">
        <v>1338</v>
      </c>
      <c r="B21" s="143">
        <f t="shared" si="0"/>
        <v>6</v>
      </c>
      <c r="C21" s="143">
        <f t="shared" si="1"/>
        <v>6.3936036989270661</v>
      </c>
      <c r="D21" s="143">
        <f t="shared" si="2"/>
        <v>11030.064592365248</v>
      </c>
      <c r="E21" s="225">
        <f t="shared" si="3"/>
        <v>0</v>
      </c>
      <c r="F21" s="143">
        <f t="shared" si="4"/>
        <v>6</v>
      </c>
      <c r="G21" s="143">
        <f t="shared" si="5"/>
        <v>0.98032347594015323</v>
      </c>
      <c r="H21" s="143">
        <f t="shared" si="6"/>
        <v>4.2843001346796292</v>
      </c>
      <c r="I21" s="143">
        <f t="shared" si="7"/>
        <v>0</v>
      </c>
      <c r="J21" s="143">
        <v>19</v>
      </c>
      <c r="K21" s="143">
        <v>19</v>
      </c>
      <c r="L21" s="143" t="s">
        <v>340</v>
      </c>
      <c r="M21" s="143" t="s">
        <v>455</v>
      </c>
      <c r="N21" s="143" t="s">
        <v>456</v>
      </c>
      <c r="O21" s="143" t="s">
        <v>456</v>
      </c>
      <c r="P21" s="143" t="s">
        <v>455</v>
      </c>
      <c r="Q21" s="143" t="s">
        <v>456</v>
      </c>
      <c r="R21" s="143" t="s">
        <v>456</v>
      </c>
    </row>
    <row r="22" spans="1:18" x14ac:dyDescent="0.3">
      <c r="A22" s="143" t="s">
        <v>1343</v>
      </c>
      <c r="B22" s="143">
        <f t="shared" si="0"/>
        <v>4</v>
      </c>
      <c r="C22" s="143">
        <f t="shared" si="1"/>
        <v>286274509.80392134</v>
      </c>
      <c r="D22" s="143">
        <f t="shared" si="2"/>
        <v>0</v>
      </c>
      <c r="E22" s="225">
        <f t="shared" si="3"/>
        <v>0</v>
      </c>
      <c r="F22" s="143">
        <f t="shared" si="4"/>
        <v>4</v>
      </c>
      <c r="G22" s="143">
        <f t="shared" si="5"/>
        <v>36</v>
      </c>
      <c r="H22" s="143">
        <f t="shared" si="6"/>
        <v>0</v>
      </c>
      <c r="I22" s="143">
        <f t="shared" si="7"/>
        <v>0</v>
      </c>
      <c r="J22" s="143">
        <v>19</v>
      </c>
      <c r="K22" s="143">
        <v>19</v>
      </c>
      <c r="L22" s="143" t="s">
        <v>340</v>
      </c>
      <c r="M22" s="143" t="s">
        <v>455</v>
      </c>
      <c r="N22" s="143" t="s">
        <v>456</v>
      </c>
      <c r="O22" s="143" t="s">
        <v>456</v>
      </c>
      <c r="P22" s="143" t="s">
        <v>455</v>
      </c>
      <c r="Q22" s="143" t="s">
        <v>456</v>
      </c>
      <c r="R22" s="143" t="s">
        <v>456</v>
      </c>
    </row>
    <row r="23" spans="1:18" x14ac:dyDescent="0.3">
      <c r="A23" s="143" t="s">
        <v>1345</v>
      </c>
      <c r="B23" s="143">
        <f t="shared" si="0"/>
        <v>4</v>
      </c>
      <c r="C23" s="143" t="e">
        <f t="shared" si="1"/>
        <v>#N/A</v>
      </c>
      <c r="D23" s="143">
        <f t="shared" si="2"/>
        <v>0</v>
      </c>
      <c r="E23" s="225">
        <f t="shared" si="3"/>
        <v>0</v>
      </c>
      <c r="F23" s="143">
        <f t="shared" si="4"/>
        <v>4</v>
      </c>
      <c r="G23" s="143">
        <f t="shared" si="5"/>
        <v>8</v>
      </c>
      <c r="H23" s="143">
        <f t="shared" si="6"/>
        <v>0</v>
      </c>
      <c r="I23" s="143">
        <f t="shared" si="7"/>
        <v>0</v>
      </c>
      <c r="J23" s="143">
        <v>19</v>
      </c>
      <c r="K23" s="143">
        <v>19</v>
      </c>
      <c r="L23" s="143" t="s">
        <v>340</v>
      </c>
      <c r="M23" s="143" t="s">
        <v>455</v>
      </c>
      <c r="N23" s="143" t="s">
        <v>456</v>
      </c>
      <c r="O23" s="143" t="s">
        <v>456</v>
      </c>
      <c r="P23" s="143" t="s">
        <v>455</v>
      </c>
      <c r="Q23" s="143" t="s">
        <v>456</v>
      </c>
      <c r="R23" s="143" t="s">
        <v>456</v>
      </c>
    </row>
    <row r="24" spans="1:18" x14ac:dyDescent="0.3">
      <c r="A24" s="143" t="s">
        <v>1347</v>
      </c>
      <c r="B24" s="143">
        <f t="shared" si="0"/>
        <v>4</v>
      </c>
      <c r="C24" s="143">
        <f t="shared" si="1"/>
        <v>286274509.80392134</v>
      </c>
      <c r="D24" s="143">
        <f t="shared" si="2"/>
        <v>0</v>
      </c>
      <c r="E24" s="225">
        <f t="shared" si="3"/>
        <v>0</v>
      </c>
      <c r="F24" s="143">
        <f t="shared" si="4"/>
        <v>4</v>
      </c>
      <c r="G24" s="143">
        <f t="shared" si="5"/>
        <v>36</v>
      </c>
      <c r="H24" s="143">
        <f t="shared" si="6"/>
        <v>0</v>
      </c>
      <c r="I24" s="143">
        <f t="shared" si="7"/>
        <v>0</v>
      </c>
      <c r="J24" s="143">
        <v>19</v>
      </c>
      <c r="K24" s="143">
        <v>19</v>
      </c>
      <c r="L24" s="143" t="s">
        <v>340</v>
      </c>
      <c r="M24" s="143" t="s">
        <v>455</v>
      </c>
      <c r="N24" s="143" t="s">
        <v>456</v>
      </c>
      <c r="O24" s="143" t="s">
        <v>456</v>
      </c>
      <c r="P24" s="143" t="s">
        <v>455</v>
      </c>
      <c r="Q24" s="143" t="s">
        <v>456</v>
      </c>
      <c r="R24" s="143" t="s">
        <v>456</v>
      </c>
    </row>
    <row r="25" spans="1:18" x14ac:dyDescent="0.3">
      <c r="A25" s="143" t="s">
        <v>1351</v>
      </c>
      <c r="B25" s="143">
        <f t="shared" si="0"/>
        <v>6</v>
      </c>
      <c r="C25" s="143">
        <f t="shared" si="1"/>
        <v>3.4190461078823828</v>
      </c>
      <c r="D25" s="143">
        <f t="shared" si="2"/>
        <v>10532.201581070127</v>
      </c>
      <c r="E25" s="225">
        <f t="shared" si="3"/>
        <v>0</v>
      </c>
      <c r="F25" s="143">
        <f t="shared" si="4"/>
        <v>6</v>
      </c>
      <c r="G25" s="143">
        <f t="shared" si="5"/>
        <v>0.93280637032789437</v>
      </c>
      <c r="H25" s="143">
        <f t="shared" si="6"/>
        <v>4.9313556878723244</v>
      </c>
      <c r="I25" s="143">
        <f t="shared" si="7"/>
        <v>0</v>
      </c>
      <c r="J25" s="143">
        <v>19</v>
      </c>
      <c r="K25" s="143">
        <v>19</v>
      </c>
      <c r="L25" s="143" t="s">
        <v>340</v>
      </c>
      <c r="M25" s="143" t="s">
        <v>455</v>
      </c>
      <c r="N25" s="143" t="s">
        <v>456</v>
      </c>
      <c r="O25" s="143" t="s">
        <v>456</v>
      </c>
      <c r="P25" s="143" t="s">
        <v>455</v>
      </c>
      <c r="Q25" s="143" t="s">
        <v>456</v>
      </c>
      <c r="R25" s="143" t="s">
        <v>456</v>
      </c>
    </row>
    <row r="26" spans="1:18" x14ac:dyDescent="0.3">
      <c r="A26" s="143" t="s">
        <v>1354</v>
      </c>
      <c r="B26" s="143">
        <f t="shared" si="0"/>
        <v>6</v>
      </c>
      <c r="C26" s="143">
        <f t="shared" si="1"/>
        <v>6.7639462203852876</v>
      </c>
      <c r="D26" s="143">
        <f t="shared" si="2"/>
        <v>68.856276954048525</v>
      </c>
      <c r="E26" s="225">
        <f t="shared" si="3"/>
        <v>0</v>
      </c>
      <c r="F26" s="143">
        <f t="shared" si="4"/>
        <v>6</v>
      </c>
      <c r="G26" s="143">
        <f t="shared" si="5"/>
        <v>0.53366268318492038</v>
      </c>
      <c r="H26" s="143">
        <f t="shared" si="6"/>
        <v>43.098385412176604</v>
      </c>
      <c r="I26" s="143">
        <f t="shared" si="7"/>
        <v>0</v>
      </c>
      <c r="J26" s="143">
        <v>19</v>
      </c>
      <c r="K26" s="143">
        <v>19</v>
      </c>
      <c r="L26" s="143" t="s">
        <v>340</v>
      </c>
      <c r="M26" s="143" t="s">
        <v>455</v>
      </c>
      <c r="N26" s="143" t="s">
        <v>456</v>
      </c>
      <c r="O26" s="143" t="s">
        <v>456</v>
      </c>
      <c r="P26" s="143" t="s">
        <v>455</v>
      </c>
      <c r="Q26" s="143" t="s">
        <v>456</v>
      </c>
      <c r="R26" s="143" t="s">
        <v>456</v>
      </c>
    </row>
    <row r="27" spans="1:18" x14ac:dyDescent="0.3">
      <c r="A27" s="143" t="s">
        <v>1355</v>
      </c>
      <c r="B27" s="143">
        <f t="shared" si="0"/>
        <v>6</v>
      </c>
      <c r="C27" s="143">
        <f t="shared" si="1"/>
        <v>5.4989920196865292</v>
      </c>
      <c r="D27" s="143">
        <f t="shared" si="2"/>
        <v>198.66014440772707</v>
      </c>
      <c r="E27" s="225">
        <f t="shared" si="3"/>
        <v>0</v>
      </c>
      <c r="F27" s="143">
        <f t="shared" si="4"/>
        <v>6</v>
      </c>
      <c r="G27" s="143">
        <f t="shared" si="5"/>
        <v>0.55467024566612955</v>
      </c>
      <c r="H27" s="143">
        <f t="shared" si="6"/>
        <v>34.254586663796985</v>
      </c>
      <c r="I27" s="143">
        <f t="shared" si="7"/>
        <v>0</v>
      </c>
      <c r="J27" s="143">
        <v>19</v>
      </c>
      <c r="K27" s="143">
        <v>19</v>
      </c>
      <c r="L27" s="143" t="s">
        <v>340</v>
      </c>
      <c r="M27" s="143" t="s">
        <v>455</v>
      </c>
      <c r="N27" s="143" t="s">
        <v>456</v>
      </c>
      <c r="O27" s="143" t="s">
        <v>456</v>
      </c>
      <c r="P27" s="143" t="s">
        <v>455</v>
      </c>
      <c r="Q27" s="143" t="s">
        <v>456</v>
      </c>
      <c r="R27" s="143" t="s">
        <v>456</v>
      </c>
    </row>
    <row r="28" spans="1:18" x14ac:dyDescent="0.3">
      <c r="A28" s="143" t="s">
        <v>1358</v>
      </c>
      <c r="B28" s="143">
        <f t="shared" si="0"/>
        <v>6</v>
      </c>
      <c r="C28" s="143">
        <f t="shared" si="1"/>
        <v>5.8754016129666411</v>
      </c>
      <c r="D28" s="143">
        <f t="shared" si="2"/>
        <v>6887.9454094307684</v>
      </c>
      <c r="E28" s="225">
        <f t="shared" si="3"/>
        <v>0</v>
      </c>
      <c r="F28" s="143">
        <f t="shared" si="4"/>
        <v>6</v>
      </c>
      <c r="G28" s="143">
        <f t="shared" si="5"/>
        <v>2.9319992169389946</v>
      </c>
      <c r="H28" s="143">
        <f t="shared" si="6"/>
        <v>0.34106421114395774</v>
      </c>
      <c r="I28" s="143">
        <f t="shared" si="7"/>
        <v>0</v>
      </c>
      <c r="J28" s="143">
        <v>19</v>
      </c>
      <c r="K28" s="143">
        <v>19</v>
      </c>
      <c r="L28" s="143" t="s">
        <v>340</v>
      </c>
      <c r="M28" s="143" t="s">
        <v>455</v>
      </c>
      <c r="N28" s="143" t="s">
        <v>456</v>
      </c>
      <c r="O28" s="143" t="s">
        <v>456</v>
      </c>
      <c r="P28" s="143" t="s">
        <v>455</v>
      </c>
      <c r="Q28" s="143" t="s">
        <v>456</v>
      </c>
      <c r="R28" s="143" t="s">
        <v>456</v>
      </c>
    </row>
    <row r="29" spans="1:18" x14ac:dyDescent="0.3">
      <c r="A29" s="143" t="s">
        <v>1346</v>
      </c>
      <c r="B29" s="143">
        <f t="shared" si="0"/>
        <v>4</v>
      </c>
      <c r="C29" s="143">
        <f t="shared" si="1"/>
        <v>286274509.80392134</v>
      </c>
      <c r="D29" s="143">
        <f t="shared" si="2"/>
        <v>0</v>
      </c>
      <c r="E29" s="225">
        <f t="shared" si="3"/>
        <v>0</v>
      </c>
      <c r="F29" s="143">
        <f t="shared" si="4"/>
        <v>4</v>
      </c>
      <c r="G29" s="143">
        <f t="shared" si="5"/>
        <v>36</v>
      </c>
      <c r="H29" s="143">
        <f t="shared" si="6"/>
        <v>0</v>
      </c>
      <c r="I29" s="143">
        <f t="shared" si="7"/>
        <v>0</v>
      </c>
      <c r="J29" s="143">
        <v>19</v>
      </c>
      <c r="K29" s="143">
        <v>19</v>
      </c>
      <c r="L29" s="143" t="s">
        <v>340</v>
      </c>
      <c r="M29" s="143" t="s">
        <v>455</v>
      </c>
      <c r="N29" s="143" t="s">
        <v>456</v>
      </c>
      <c r="O29" s="143" t="s">
        <v>456</v>
      </c>
      <c r="P29" s="143" t="s">
        <v>455</v>
      </c>
      <c r="Q29" s="143" t="s">
        <v>456</v>
      </c>
      <c r="R29" s="143" t="s">
        <v>456</v>
      </c>
    </row>
    <row r="30" spans="1:18" x14ac:dyDescent="0.3">
      <c r="A30" s="143" t="s">
        <v>1360</v>
      </c>
      <c r="B30" s="143">
        <f t="shared" si="0"/>
        <v>4</v>
      </c>
      <c r="C30" s="143">
        <f t="shared" si="1"/>
        <v>286274509.80392134</v>
      </c>
      <c r="D30" s="143">
        <f t="shared" si="2"/>
        <v>0</v>
      </c>
      <c r="E30" s="225">
        <f t="shared" si="3"/>
        <v>0</v>
      </c>
      <c r="F30" s="143">
        <f t="shared" si="4"/>
        <v>4</v>
      </c>
      <c r="G30" s="143">
        <f t="shared" si="5"/>
        <v>36</v>
      </c>
      <c r="H30" s="143">
        <f t="shared" si="6"/>
        <v>0</v>
      </c>
      <c r="I30" s="143">
        <f t="shared" si="7"/>
        <v>0</v>
      </c>
      <c r="J30" s="143">
        <v>19</v>
      </c>
      <c r="K30" s="143">
        <v>19</v>
      </c>
      <c r="L30" s="143" t="s">
        <v>340</v>
      </c>
      <c r="M30" s="143" t="s">
        <v>455</v>
      </c>
      <c r="N30" s="143" t="s">
        <v>456</v>
      </c>
      <c r="O30" s="143" t="s">
        <v>456</v>
      </c>
      <c r="P30" s="143" t="s">
        <v>455</v>
      </c>
      <c r="Q30" s="143" t="s">
        <v>456</v>
      </c>
      <c r="R30" s="143" t="s">
        <v>456</v>
      </c>
    </row>
    <row r="31" spans="1:18" x14ac:dyDescent="0.3">
      <c r="A31" s="143" t="s">
        <v>1362</v>
      </c>
      <c r="B31" s="143">
        <f t="shared" si="0"/>
        <v>6</v>
      </c>
      <c r="C31" s="143" t="e">
        <f t="shared" si="1"/>
        <v>#N/A</v>
      </c>
      <c r="D31" s="143" t="e">
        <f t="shared" si="2"/>
        <v>#N/A</v>
      </c>
      <c r="E31" s="225">
        <f t="shared" si="3"/>
        <v>0</v>
      </c>
      <c r="F31" s="143">
        <f t="shared" si="4"/>
        <v>6</v>
      </c>
      <c r="G31" s="143">
        <f t="shared" si="5"/>
        <v>1.0066886217011117</v>
      </c>
      <c r="H31" s="143">
        <f t="shared" si="6"/>
        <v>3.9734232748560951</v>
      </c>
      <c r="I31" s="143">
        <f t="shared" si="7"/>
        <v>0</v>
      </c>
      <c r="J31" s="143">
        <v>19</v>
      </c>
      <c r="K31" s="143">
        <v>19</v>
      </c>
      <c r="L31" s="143" t="s">
        <v>340</v>
      </c>
      <c r="M31" s="143" t="s">
        <v>455</v>
      </c>
      <c r="N31" s="143" t="s">
        <v>456</v>
      </c>
      <c r="O31" s="143" t="s">
        <v>456</v>
      </c>
      <c r="P31" s="143" t="s">
        <v>455</v>
      </c>
      <c r="Q31" s="143" t="s">
        <v>456</v>
      </c>
      <c r="R31" s="143" t="s">
        <v>456</v>
      </c>
    </row>
    <row r="32" spans="1:18" x14ac:dyDescent="0.3">
      <c r="A32" s="143" t="s">
        <v>1361</v>
      </c>
      <c r="B32" s="143">
        <f t="shared" si="0"/>
        <v>4</v>
      </c>
      <c r="C32" s="143">
        <f t="shared" si="1"/>
        <v>286274509.80392134</v>
      </c>
      <c r="D32" s="143">
        <f t="shared" si="2"/>
        <v>0</v>
      </c>
      <c r="E32" s="225">
        <f t="shared" si="3"/>
        <v>0</v>
      </c>
      <c r="F32" s="143">
        <f t="shared" si="4"/>
        <v>4</v>
      </c>
      <c r="G32" s="143">
        <f t="shared" si="5"/>
        <v>36</v>
      </c>
      <c r="H32" s="143">
        <f t="shared" si="6"/>
        <v>0</v>
      </c>
      <c r="I32" s="143">
        <f t="shared" si="7"/>
        <v>0</v>
      </c>
      <c r="J32" s="143">
        <v>19</v>
      </c>
      <c r="K32" s="143">
        <v>19</v>
      </c>
      <c r="L32" s="143" t="s">
        <v>340</v>
      </c>
      <c r="M32" s="143" t="s">
        <v>455</v>
      </c>
      <c r="N32" s="143" t="s">
        <v>456</v>
      </c>
      <c r="O32" s="143" t="s">
        <v>456</v>
      </c>
      <c r="P32" s="143" t="s">
        <v>455</v>
      </c>
      <c r="Q32" s="143" t="s">
        <v>456</v>
      </c>
      <c r="R32" s="143" t="s">
        <v>456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dimension ref="A1:R32"/>
  <sheetViews>
    <sheetView zoomScale="90" zoomScaleNormal="90" workbookViewId="0">
      <selection activeCell="B14" sqref="B14:B18"/>
    </sheetView>
  </sheetViews>
  <sheetFormatPr baseColWidth="10" defaultColWidth="11.44140625" defaultRowHeight="14.4" x14ac:dyDescent="0.3"/>
  <cols>
    <col min="1" max="1" width="18" style="141" bestFit="1" customWidth="1"/>
    <col min="2" max="16384" width="11.44140625" style="141"/>
  </cols>
  <sheetData>
    <row r="1" spans="1:18" x14ac:dyDescent="0.3">
      <c r="A1" s="141" t="s">
        <v>454</v>
      </c>
      <c r="B1" s="141" t="s">
        <v>1381</v>
      </c>
      <c r="C1" s="141" t="s">
        <v>1382</v>
      </c>
    </row>
    <row r="2" spans="1:18" x14ac:dyDescent="0.3">
      <c r="A2" s="141" t="s">
        <v>427</v>
      </c>
      <c r="B2" s="141" t="s">
        <v>428</v>
      </c>
      <c r="C2" s="141" t="s">
        <v>429</v>
      </c>
      <c r="D2" s="141" t="s">
        <v>430</v>
      </c>
      <c r="E2" s="141" t="s">
        <v>431</v>
      </c>
      <c r="F2" s="141" t="s">
        <v>432</v>
      </c>
      <c r="G2" s="141" t="s">
        <v>433</v>
      </c>
      <c r="H2" s="141" t="s">
        <v>434</v>
      </c>
      <c r="I2" s="141" t="s">
        <v>435</v>
      </c>
      <c r="J2" s="141" t="s">
        <v>436</v>
      </c>
      <c r="K2" s="141" t="s">
        <v>437</v>
      </c>
      <c r="L2" s="141" t="s">
        <v>438</v>
      </c>
      <c r="M2" s="141" t="s">
        <v>439</v>
      </c>
      <c r="N2" s="141" t="s">
        <v>440</v>
      </c>
      <c r="O2" s="141" t="s">
        <v>441</v>
      </c>
      <c r="P2" s="141" t="s">
        <v>442</v>
      </c>
      <c r="Q2" s="141" t="s">
        <v>443</v>
      </c>
      <c r="R2" s="141" t="s">
        <v>444</v>
      </c>
    </row>
    <row r="3" spans="1:18" x14ac:dyDescent="0.3">
      <c r="A3" s="143" t="s">
        <v>1308</v>
      </c>
      <c r="B3" s="143">
        <f t="shared" ref="B3:B32" si="0">IF(VLOOKUP($A3,Matriz_DataSheets,21,0)="gamma",6,4)</f>
        <v>6</v>
      </c>
      <c r="C3" s="143" t="str">
        <f>TEXT('RAM_ECI-1_Caso-A'!C3,"#,##0.00")</f>
        <v>3.42</v>
      </c>
      <c r="D3" s="143" t="str">
        <f>TEXT('RAM_ECI-1_Caso-A'!D3,"#,##0.00")</f>
        <v>10,532.20</v>
      </c>
      <c r="E3" s="225">
        <f t="shared" ref="E3:E32" si="1">VLOOKUP($A3,Matriz_DataSheets,26,0)</f>
        <v>0</v>
      </c>
      <c r="F3" s="143">
        <f t="shared" ref="F3:F32" si="2">IF(VLOOKUP($A3,Matriz_DataSheets,34,0)="gamma",6,4)</f>
        <v>6</v>
      </c>
      <c r="G3" s="143" t="str">
        <f>TEXT('RAM_ECI-1_Caso-A'!G3,"#,##0.00")</f>
        <v>0.93</v>
      </c>
      <c r="H3" s="143" t="str">
        <f>TEXT('RAM_ECI-1_Caso-A'!H3,"#,##0.00")</f>
        <v>4.93</v>
      </c>
      <c r="I3" s="143">
        <f t="shared" ref="I3:I32" si="3">VLOOKUP($A3,Matriz_DataSheets,39,0)</f>
        <v>0</v>
      </c>
      <c r="J3" s="143">
        <v>19</v>
      </c>
      <c r="K3" s="143">
        <v>19</v>
      </c>
      <c r="L3" s="143" t="s">
        <v>340</v>
      </c>
      <c r="M3" s="143" t="s">
        <v>455</v>
      </c>
      <c r="N3" s="143" t="s">
        <v>456</v>
      </c>
      <c r="O3" s="143" t="s">
        <v>456</v>
      </c>
      <c r="P3" s="143" t="s">
        <v>455</v>
      </c>
      <c r="Q3" s="143" t="s">
        <v>456</v>
      </c>
      <c r="R3" s="143" t="s">
        <v>456</v>
      </c>
    </row>
    <row r="4" spans="1:18" x14ac:dyDescent="0.3">
      <c r="A4" s="143" t="s">
        <v>1315</v>
      </c>
      <c r="B4" s="143">
        <f t="shared" si="0"/>
        <v>6</v>
      </c>
      <c r="C4" s="143" t="str">
        <f>TEXT('RAM_ECI-1_Caso-A'!C4,"#,##0.00")</f>
        <v>1.99</v>
      </c>
      <c r="D4" s="143" t="str">
        <f>TEXT('RAM_ECI-1_Caso-A'!D4,"#,##0.00")</f>
        <v>8,793.59</v>
      </c>
      <c r="E4" s="225">
        <f t="shared" si="1"/>
        <v>0</v>
      </c>
      <c r="F4" s="143">
        <f t="shared" si="2"/>
        <v>6</v>
      </c>
      <c r="G4" s="143" t="e">
        <f>TEXT('RAM_ECI-1_Caso-A'!G4,"#,##0.00")</f>
        <v>#VALUE!</v>
      </c>
      <c r="H4" s="143" t="e">
        <f>TEXT('RAM_ECI-1_Caso-A'!H4,"#,##0.00")</f>
        <v>#VALUE!</v>
      </c>
      <c r="I4" s="143">
        <f t="shared" si="3"/>
        <v>0</v>
      </c>
      <c r="J4" s="143">
        <v>19</v>
      </c>
      <c r="K4" s="143">
        <v>19</v>
      </c>
      <c r="L4" s="143" t="s">
        <v>340</v>
      </c>
      <c r="M4" s="143" t="s">
        <v>455</v>
      </c>
      <c r="N4" s="143" t="s">
        <v>456</v>
      </c>
      <c r="O4" s="143" t="s">
        <v>456</v>
      </c>
      <c r="P4" s="143" t="s">
        <v>455</v>
      </c>
      <c r="Q4" s="143" t="s">
        <v>456</v>
      </c>
      <c r="R4" s="143" t="s">
        <v>456</v>
      </c>
    </row>
    <row r="5" spans="1:18" x14ac:dyDescent="0.3">
      <c r="A5" s="143" t="s">
        <v>1316</v>
      </c>
      <c r="B5" s="143">
        <f t="shared" si="0"/>
        <v>6</v>
      </c>
      <c r="C5" s="143" t="str">
        <f>TEXT('RAM_ECI-1_Caso-A'!C5,"#,##0.00")</f>
        <v>2.52</v>
      </c>
      <c r="D5" s="143" t="str">
        <f>TEXT('RAM_ECI-1_Caso-A'!D5,"#,##0.00")</f>
        <v>264.23</v>
      </c>
      <c r="E5" s="225">
        <f t="shared" si="1"/>
        <v>0</v>
      </c>
      <c r="F5" s="143">
        <f t="shared" si="2"/>
        <v>6</v>
      </c>
      <c r="G5" s="143" t="str">
        <f>TEXT('RAM_ECI-1_Caso-A'!G5,"#,##0.00")</f>
        <v>0.82</v>
      </c>
      <c r="H5" s="143" t="str">
        <f>TEXT('RAM_ECI-1_Caso-A'!H5,"#,##0.00")</f>
        <v>7.35</v>
      </c>
      <c r="I5" s="143">
        <f t="shared" si="3"/>
        <v>0</v>
      </c>
      <c r="J5" s="143">
        <v>19</v>
      </c>
      <c r="K5" s="143">
        <v>19</v>
      </c>
      <c r="L5" s="143" t="s">
        <v>340</v>
      </c>
      <c r="M5" s="143" t="s">
        <v>455</v>
      </c>
      <c r="N5" s="143" t="s">
        <v>456</v>
      </c>
      <c r="O5" s="143" t="s">
        <v>456</v>
      </c>
      <c r="P5" s="143" t="s">
        <v>455</v>
      </c>
      <c r="Q5" s="143" t="s">
        <v>456</v>
      </c>
      <c r="R5" s="143" t="s">
        <v>456</v>
      </c>
    </row>
    <row r="6" spans="1:18" x14ac:dyDescent="0.3">
      <c r="A6" s="143" t="s">
        <v>1317</v>
      </c>
      <c r="B6" s="143">
        <f t="shared" si="0"/>
        <v>6</v>
      </c>
      <c r="C6" s="143" t="str">
        <f>TEXT('RAM_ECI-1_Caso-A'!C6,"#,##0.00")</f>
        <v>5.11</v>
      </c>
      <c r="D6" s="143" t="str">
        <f>TEXT('RAM_ECI-1_Caso-A'!D6,"#,##0.00")</f>
        <v>1,148.55</v>
      </c>
      <c r="E6" s="225">
        <f t="shared" si="1"/>
        <v>0</v>
      </c>
      <c r="F6" s="143">
        <f t="shared" si="2"/>
        <v>6</v>
      </c>
      <c r="G6" s="143" t="str">
        <f>TEXT('RAM_ECI-1_Caso-A'!G6,"#,##0.00")</f>
        <v>0.72</v>
      </c>
      <c r="H6" s="143" t="str">
        <f>TEXT('RAM_ECI-1_Caso-A'!H6,"#,##0.00")</f>
        <v>11.29</v>
      </c>
      <c r="I6" s="143">
        <f t="shared" si="3"/>
        <v>0</v>
      </c>
      <c r="J6" s="143">
        <v>19</v>
      </c>
      <c r="K6" s="143">
        <v>19</v>
      </c>
      <c r="L6" s="143" t="s">
        <v>340</v>
      </c>
      <c r="M6" s="143" t="s">
        <v>455</v>
      </c>
      <c r="N6" s="143" t="s">
        <v>456</v>
      </c>
      <c r="O6" s="143" t="s">
        <v>456</v>
      </c>
      <c r="P6" s="143" t="s">
        <v>455</v>
      </c>
      <c r="Q6" s="143" t="s">
        <v>456</v>
      </c>
      <c r="R6" s="143" t="s">
        <v>456</v>
      </c>
    </row>
    <row r="7" spans="1:18" x14ac:dyDescent="0.3">
      <c r="A7" s="143" t="s">
        <v>1318</v>
      </c>
      <c r="B7" s="143">
        <f t="shared" si="0"/>
        <v>4</v>
      </c>
      <c r="C7" s="143" t="str">
        <f>TEXT('RAM_ECI-1_Caso-A'!C7,"#,##0.00")</f>
        <v>3,831,624.00</v>
      </c>
      <c r="D7" s="143" t="str">
        <f>TEXT('RAM_ECI-1_Caso-A'!D7,"#,##0.00")</f>
        <v>0.00</v>
      </c>
      <c r="E7" s="225">
        <f t="shared" si="1"/>
        <v>0</v>
      </c>
      <c r="F7" s="143">
        <f t="shared" si="2"/>
        <v>4</v>
      </c>
      <c r="G7" s="143" t="str">
        <f>TEXT('RAM_ECI-1_Caso-A'!G7,"#,##0.00")</f>
        <v>5.00</v>
      </c>
      <c r="H7" s="143" t="str">
        <f>TEXT('RAM_ECI-1_Caso-A'!H7,"#,##0.00")</f>
        <v>0.00</v>
      </c>
      <c r="I7" s="143">
        <f t="shared" si="3"/>
        <v>0</v>
      </c>
      <c r="J7" s="143">
        <v>19</v>
      </c>
      <c r="K7" s="143">
        <v>19</v>
      </c>
      <c r="L7" s="143" t="s">
        <v>340</v>
      </c>
      <c r="M7" s="143" t="s">
        <v>455</v>
      </c>
      <c r="N7" s="143" t="s">
        <v>456</v>
      </c>
      <c r="O7" s="143" t="s">
        <v>456</v>
      </c>
      <c r="P7" s="143" t="s">
        <v>455</v>
      </c>
      <c r="Q7" s="143" t="s">
        <v>456</v>
      </c>
      <c r="R7" s="143" t="s">
        <v>456</v>
      </c>
    </row>
    <row r="8" spans="1:18" x14ac:dyDescent="0.3">
      <c r="A8" s="143" t="s">
        <v>1319</v>
      </c>
      <c r="B8" s="143">
        <f t="shared" si="0"/>
        <v>6</v>
      </c>
      <c r="C8" s="143" t="str">
        <f>TEXT('RAM_ECI-1_Caso-A'!C8,"#,##0.00")</f>
        <v>1.88</v>
      </c>
      <c r="D8" s="143" t="str">
        <f>TEXT('RAM_ECI-1_Caso-A'!D8,"#,##0.00")</f>
        <v>3,180.78</v>
      </c>
      <c r="E8" s="225">
        <f t="shared" si="1"/>
        <v>0</v>
      </c>
      <c r="F8" s="143">
        <f t="shared" si="2"/>
        <v>6</v>
      </c>
      <c r="G8" s="143" t="str">
        <f>TEXT('RAM_ECI-1_Caso-A'!G8,"#,##0.00")</f>
        <v>0.85</v>
      </c>
      <c r="H8" s="143" t="str">
        <f>TEXT('RAM_ECI-1_Caso-A'!H8,"#,##0.00")</f>
        <v>6.46</v>
      </c>
      <c r="I8" s="143">
        <f t="shared" si="3"/>
        <v>0</v>
      </c>
      <c r="J8" s="143">
        <v>19</v>
      </c>
      <c r="K8" s="143">
        <v>19</v>
      </c>
      <c r="L8" s="143" t="s">
        <v>340</v>
      </c>
      <c r="M8" s="143" t="s">
        <v>455</v>
      </c>
      <c r="N8" s="143" t="s">
        <v>456</v>
      </c>
      <c r="O8" s="143" t="s">
        <v>456</v>
      </c>
      <c r="P8" s="143" t="s">
        <v>455</v>
      </c>
      <c r="Q8" s="143" t="s">
        <v>456</v>
      </c>
      <c r="R8" s="143" t="s">
        <v>456</v>
      </c>
    </row>
    <row r="9" spans="1:18" x14ac:dyDescent="0.3">
      <c r="A9" s="143" t="s">
        <v>1320</v>
      </c>
      <c r="B9" s="143">
        <f t="shared" si="0"/>
        <v>6</v>
      </c>
      <c r="C9" s="143" t="str">
        <f>TEXT('RAM_ECI-1_Caso-A'!C9,"#,##0.00")</f>
        <v>4.54</v>
      </c>
      <c r="D9" s="143" t="str">
        <f>TEXT('RAM_ECI-1_Caso-A'!D9,"#,##0.00")</f>
        <v>8,682.38</v>
      </c>
      <c r="E9" s="225">
        <f t="shared" si="1"/>
        <v>0</v>
      </c>
      <c r="F9" s="143">
        <f t="shared" si="2"/>
        <v>6</v>
      </c>
      <c r="G9" s="143" t="str">
        <f>TEXT('RAM_ECI-1_Caso-A'!G9,"#,##0.00")</f>
        <v>0.71</v>
      </c>
      <c r="H9" s="143" t="str">
        <f>TEXT('RAM_ECI-1_Caso-A'!H9,"#,##0.00")</f>
        <v>11.88</v>
      </c>
      <c r="I9" s="143">
        <f t="shared" si="3"/>
        <v>0</v>
      </c>
      <c r="J9" s="143">
        <v>19</v>
      </c>
      <c r="K9" s="143">
        <v>19</v>
      </c>
      <c r="L9" s="143" t="s">
        <v>340</v>
      </c>
      <c r="M9" s="143" t="s">
        <v>455</v>
      </c>
      <c r="N9" s="143" t="s">
        <v>456</v>
      </c>
      <c r="O9" s="143" t="s">
        <v>456</v>
      </c>
      <c r="P9" s="143" t="s">
        <v>455</v>
      </c>
      <c r="Q9" s="143" t="s">
        <v>456</v>
      </c>
      <c r="R9" s="143" t="s">
        <v>456</v>
      </c>
    </row>
    <row r="10" spans="1:18" x14ac:dyDescent="0.3">
      <c r="A10" s="143" t="s">
        <v>1321</v>
      </c>
      <c r="B10" s="143">
        <f t="shared" si="0"/>
        <v>6</v>
      </c>
      <c r="C10" s="143" t="str">
        <f>TEXT('RAM_ECI-1_Caso-A'!C10,"#,##0.00")</f>
        <v>16.08</v>
      </c>
      <c r="D10" s="143" t="str">
        <f>TEXT('RAM_ECI-1_Caso-A'!D10,"#,##0.00")</f>
        <v>5,019.28</v>
      </c>
      <c r="E10" s="225">
        <f t="shared" si="1"/>
        <v>0</v>
      </c>
      <c r="F10" s="143">
        <f t="shared" si="2"/>
        <v>6</v>
      </c>
      <c r="G10" s="143" t="str">
        <f>TEXT('RAM_ECI-1_Caso-A'!G10,"#,##0.00")</f>
        <v>1.15</v>
      </c>
      <c r="H10" s="143" t="str">
        <f>TEXT('RAM_ECI-1_Caso-A'!H10,"#,##0.00")</f>
        <v>2.69</v>
      </c>
      <c r="I10" s="143">
        <f t="shared" si="3"/>
        <v>0</v>
      </c>
      <c r="J10" s="143">
        <v>19</v>
      </c>
      <c r="K10" s="143">
        <v>19</v>
      </c>
      <c r="L10" s="143" t="s">
        <v>340</v>
      </c>
      <c r="M10" s="143" t="s">
        <v>455</v>
      </c>
      <c r="N10" s="143" t="s">
        <v>456</v>
      </c>
      <c r="O10" s="143" t="s">
        <v>456</v>
      </c>
      <c r="P10" s="143" t="s">
        <v>455</v>
      </c>
      <c r="Q10" s="143" t="s">
        <v>456</v>
      </c>
      <c r="R10" s="143" t="s">
        <v>456</v>
      </c>
    </row>
    <row r="11" spans="1:18" x14ac:dyDescent="0.3">
      <c r="A11" s="143" t="s">
        <v>1350</v>
      </c>
      <c r="B11" s="143">
        <f t="shared" si="0"/>
        <v>6</v>
      </c>
      <c r="C11" s="143" t="str">
        <f>TEXT('RAM_ECI-1_Caso-A'!C11,"#,##0.00")</f>
        <v>2.28</v>
      </c>
      <c r="D11" s="143" t="str">
        <f>TEXT('RAM_ECI-1_Caso-A'!D11,"#,##0.00")</f>
        <v>589.99</v>
      </c>
      <c r="E11" s="225">
        <f t="shared" si="1"/>
        <v>0</v>
      </c>
      <c r="F11" s="143">
        <f t="shared" si="2"/>
        <v>6</v>
      </c>
      <c r="G11" s="143" t="str">
        <f>TEXT('RAM_ECI-1_Caso-A'!G11,"#,##0.00")</f>
        <v>0.67</v>
      </c>
      <c r="H11" s="143" t="str">
        <f>TEXT('RAM_ECI-1_Caso-A'!H11,"#,##0.00")</f>
        <v>14.27</v>
      </c>
      <c r="I11" s="143">
        <f t="shared" si="3"/>
        <v>0</v>
      </c>
      <c r="J11" s="143">
        <v>19</v>
      </c>
      <c r="K11" s="143">
        <v>19</v>
      </c>
      <c r="L11" s="143" t="s">
        <v>340</v>
      </c>
      <c r="M11" s="143" t="s">
        <v>455</v>
      </c>
      <c r="N11" s="143" t="s">
        <v>456</v>
      </c>
      <c r="O11" s="143" t="s">
        <v>456</v>
      </c>
      <c r="P11" s="143" t="s">
        <v>455</v>
      </c>
      <c r="Q11" s="143" t="s">
        <v>456</v>
      </c>
      <c r="R11" s="143" t="s">
        <v>456</v>
      </c>
    </row>
    <row r="12" spans="1:18" x14ac:dyDescent="0.3">
      <c r="A12" s="143" t="s">
        <v>1322</v>
      </c>
      <c r="B12" s="143">
        <f t="shared" si="0"/>
        <v>6</v>
      </c>
      <c r="C12" s="143" t="str">
        <f>TEXT('RAM_ECI-1_Caso-A'!C12,"#,##0.00")</f>
        <v>1.88</v>
      </c>
      <c r="D12" s="143" t="str">
        <f>TEXT('RAM_ECI-1_Caso-A'!D12,"#,##0.00")</f>
        <v>3,180.78</v>
      </c>
      <c r="E12" s="225">
        <f t="shared" si="1"/>
        <v>0</v>
      </c>
      <c r="F12" s="143">
        <f t="shared" si="2"/>
        <v>6</v>
      </c>
      <c r="G12" s="143" t="str">
        <f>TEXT('RAM_ECI-1_Caso-A'!G12,"#,##0.00")</f>
        <v>0.85</v>
      </c>
      <c r="H12" s="143" t="str">
        <f>TEXT('RAM_ECI-1_Caso-A'!H12,"#,##0.00")</f>
        <v>6.46</v>
      </c>
      <c r="I12" s="143">
        <f t="shared" si="3"/>
        <v>0</v>
      </c>
      <c r="J12" s="143">
        <v>19</v>
      </c>
      <c r="K12" s="143">
        <v>19</v>
      </c>
      <c r="L12" s="143" t="s">
        <v>340</v>
      </c>
      <c r="M12" s="143" t="s">
        <v>455</v>
      </c>
      <c r="N12" s="143" t="s">
        <v>456</v>
      </c>
      <c r="O12" s="143" t="s">
        <v>456</v>
      </c>
      <c r="P12" s="143" t="s">
        <v>455</v>
      </c>
      <c r="Q12" s="143" t="s">
        <v>456</v>
      </c>
      <c r="R12" s="143" t="s">
        <v>456</v>
      </c>
    </row>
    <row r="13" spans="1:18" x14ac:dyDescent="0.3">
      <c r="A13" s="143" t="s">
        <v>1323</v>
      </c>
      <c r="B13" s="143">
        <f t="shared" si="0"/>
        <v>6</v>
      </c>
      <c r="C13" s="143" t="str">
        <f>TEXT('RAM_ECI-1_Caso-A'!C13,"#,##0.00")</f>
        <v>3.38</v>
      </c>
      <c r="D13" s="143" t="str">
        <f>TEXT('RAM_ECI-1_Caso-A'!D13,"#,##0.00")</f>
        <v>2,128.21</v>
      </c>
      <c r="E13" s="225">
        <f t="shared" si="1"/>
        <v>0</v>
      </c>
      <c r="F13" s="143">
        <f t="shared" si="2"/>
        <v>6</v>
      </c>
      <c r="G13" s="143" t="str">
        <f>TEXT('RAM_ECI-1_Caso-A'!G13,"#,##0.00")</f>
        <v>0.67</v>
      </c>
      <c r="H13" s="143" t="str">
        <f>TEXT('RAM_ECI-1_Caso-A'!H13,"#,##0.00")</f>
        <v>14.47</v>
      </c>
      <c r="I13" s="143">
        <f t="shared" si="3"/>
        <v>0</v>
      </c>
      <c r="J13" s="143">
        <v>19</v>
      </c>
      <c r="K13" s="143">
        <v>19</v>
      </c>
      <c r="L13" s="143" t="s">
        <v>340</v>
      </c>
      <c r="M13" s="143" t="s">
        <v>455</v>
      </c>
      <c r="N13" s="143" t="s">
        <v>456</v>
      </c>
      <c r="O13" s="143" t="s">
        <v>456</v>
      </c>
      <c r="P13" s="143" t="s">
        <v>455</v>
      </c>
      <c r="Q13" s="143" t="s">
        <v>456</v>
      </c>
      <c r="R13" s="143" t="s">
        <v>456</v>
      </c>
    </row>
    <row r="14" spans="1:18" x14ac:dyDescent="0.3">
      <c r="A14" s="143" t="s">
        <v>1324</v>
      </c>
      <c r="B14" s="143">
        <f t="shared" si="0"/>
        <v>6</v>
      </c>
      <c r="C14" s="143" t="str">
        <f>TEXT('RAM_ECI-1_Caso-A'!C14,"#,##0.00")</f>
        <v>3.45</v>
      </c>
      <c r="D14" s="143" t="str">
        <f>TEXT('RAM_ECI-1_Caso-A'!D14,"#,##0.00")</f>
        <v>892.15</v>
      </c>
      <c r="E14" s="225">
        <f t="shared" si="1"/>
        <v>0</v>
      </c>
      <c r="F14" s="143">
        <f t="shared" si="2"/>
        <v>6</v>
      </c>
      <c r="G14" s="143" t="str">
        <f>TEXT('RAM_ECI-1_Caso-A'!G14,"#,##0.00")</f>
        <v>0.55</v>
      </c>
      <c r="H14" s="143" t="str">
        <f>TEXT('RAM_ECI-1_Caso-A'!H14,"#,##0.00")</f>
        <v>34.25</v>
      </c>
      <c r="I14" s="143">
        <f t="shared" si="3"/>
        <v>0</v>
      </c>
      <c r="J14" s="143">
        <v>19</v>
      </c>
      <c r="K14" s="143">
        <v>19</v>
      </c>
      <c r="L14" s="143" t="s">
        <v>340</v>
      </c>
      <c r="M14" s="143" t="s">
        <v>455</v>
      </c>
      <c r="N14" s="143" t="s">
        <v>456</v>
      </c>
      <c r="O14" s="143" t="s">
        <v>456</v>
      </c>
      <c r="P14" s="143" t="s">
        <v>455</v>
      </c>
      <c r="Q14" s="143" t="s">
        <v>456</v>
      </c>
      <c r="R14" s="143" t="s">
        <v>456</v>
      </c>
    </row>
    <row r="15" spans="1:18" x14ac:dyDescent="0.3">
      <c r="A15" s="143" t="s">
        <v>1326</v>
      </c>
      <c r="B15" s="143">
        <f t="shared" si="0"/>
        <v>4</v>
      </c>
      <c r="C15" s="143" t="str">
        <f>TEXT('RAM_ECI-1_Caso-A'!C15,"#,##0.00")</f>
        <v>5,887,596.00</v>
      </c>
      <c r="D15" s="143" t="str">
        <f>TEXT('RAM_ECI-1_Caso-A'!D15,"#,##0.00")</f>
        <v>0.00</v>
      </c>
      <c r="E15" s="225">
        <f t="shared" si="1"/>
        <v>0</v>
      </c>
      <c r="F15" s="143">
        <f t="shared" si="2"/>
        <v>4</v>
      </c>
      <c r="G15" s="143" t="str">
        <f>TEXT('RAM_ECI-1_Caso-A'!G15,"#,##0.00")</f>
        <v>18.28</v>
      </c>
      <c r="H15" s="143" t="str">
        <f>TEXT('RAM_ECI-1_Caso-A'!H15,"#,##0.00")</f>
        <v>0.00</v>
      </c>
      <c r="I15" s="143">
        <f t="shared" si="3"/>
        <v>0</v>
      </c>
      <c r="J15" s="143">
        <v>19</v>
      </c>
      <c r="K15" s="143">
        <v>19</v>
      </c>
      <c r="L15" s="143" t="s">
        <v>340</v>
      </c>
      <c r="M15" s="143" t="s">
        <v>455</v>
      </c>
      <c r="N15" s="143" t="s">
        <v>456</v>
      </c>
      <c r="O15" s="143" t="s">
        <v>456</v>
      </c>
      <c r="P15" s="143" t="s">
        <v>455</v>
      </c>
      <c r="Q15" s="143" t="s">
        <v>456</v>
      </c>
      <c r="R15" s="143" t="s">
        <v>456</v>
      </c>
    </row>
    <row r="16" spans="1:18" x14ac:dyDescent="0.3">
      <c r="A16" s="143" t="s">
        <v>1385</v>
      </c>
      <c r="B16" s="143">
        <f t="shared" si="0"/>
        <v>4</v>
      </c>
      <c r="C16" s="143" t="str">
        <f>TEXT('RAM_ECI-1_Caso-A'!C16,"#,##0.00")</f>
        <v>10,699,464.00</v>
      </c>
      <c r="D16" s="143" t="str">
        <f>TEXT('RAM_ECI-1_Caso-A'!D16,"#,##0.00")</f>
        <v>0.00</v>
      </c>
      <c r="E16" s="225">
        <f t="shared" si="1"/>
        <v>0</v>
      </c>
      <c r="F16" s="143">
        <f t="shared" si="2"/>
        <v>4</v>
      </c>
      <c r="G16" s="143" t="str">
        <f>TEXT('RAM_ECI-1_Caso-A'!G16,"#,##0.00")</f>
        <v>6.00</v>
      </c>
      <c r="H16" s="143" t="str">
        <f>TEXT('RAM_ECI-1_Caso-A'!H16,"#,##0.00")</f>
        <v>0.00</v>
      </c>
      <c r="I16" s="143">
        <f t="shared" si="3"/>
        <v>0</v>
      </c>
      <c r="J16" s="143">
        <v>19</v>
      </c>
      <c r="K16" s="143">
        <v>19</v>
      </c>
      <c r="L16" s="143" t="s">
        <v>340</v>
      </c>
      <c r="M16" s="143" t="s">
        <v>455</v>
      </c>
      <c r="N16" s="143" t="s">
        <v>456</v>
      </c>
      <c r="O16" s="143" t="s">
        <v>456</v>
      </c>
      <c r="P16" s="143" t="s">
        <v>455</v>
      </c>
      <c r="Q16" s="143" t="s">
        <v>456</v>
      </c>
      <c r="R16" s="143" t="s">
        <v>456</v>
      </c>
    </row>
    <row r="17" spans="1:18" x14ac:dyDescent="0.3">
      <c r="A17" s="143" t="s">
        <v>1386</v>
      </c>
      <c r="B17" s="143">
        <f t="shared" si="0"/>
        <v>4</v>
      </c>
      <c r="C17" s="143" t="str">
        <f>TEXT('RAM_ECI-1_Caso-A'!C17,"#,##0.00")</f>
        <v>4,910,856.00</v>
      </c>
      <c r="D17" s="143" t="str">
        <f>TEXT('RAM_ECI-1_Caso-A'!D17,"#,##0.00")</f>
        <v>0.00</v>
      </c>
      <c r="E17" s="225">
        <f t="shared" si="1"/>
        <v>0</v>
      </c>
      <c r="F17" s="143">
        <f t="shared" si="2"/>
        <v>4</v>
      </c>
      <c r="G17" s="143" t="str">
        <f>TEXT('RAM_ECI-1_Caso-A'!G17,"#,##0.00")</f>
        <v>1.27</v>
      </c>
      <c r="H17" s="143" t="str">
        <f>TEXT('RAM_ECI-1_Caso-A'!H17,"#,##0.00")</f>
        <v>0.00</v>
      </c>
      <c r="I17" s="143">
        <f t="shared" si="3"/>
        <v>0</v>
      </c>
      <c r="J17" s="143">
        <v>19</v>
      </c>
      <c r="K17" s="143">
        <v>19</v>
      </c>
      <c r="L17" s="143" t="s">
        <v>340</v>
      </c>
      <c r="M17" s="143" t="s">
        <v>455</v>
      </c>
      <c r="N17" s="143" t="s">
        <v>456</v>
      </c>
      <c r="O17" s="143" t="s">
        <v>456</v>
      </c>
      <c r="P17" s="143" t="s">
        <v>455</v>
      </c>
      <c r="Q17" s="143" t="s">
        <v>456</v>
      </c>
      <c r="R17" s="143" t="s">
        <v>456</v>
      </c>
    </row>
    <row r="18" spans="1:18" x14ac:dyDescent="0.3">
      <c r="A18" s="143" t="s">
        <v>1342</v>
      </c>
      <c r="B18" s="143">
        <f t="shared" si="0"/>
        <v>4</v>
      </c>
      <c r="C18" s="143" t="str">
        <f>TEXT('RAM_ECI-1_Caso-A'!C18,"#,##0.00")</f>
        <v>286,274,509.80</v>
      </c>
      <c r="D18" s="143" t="str">
        <f>TEXT('RAM_ECI-1_Caso-A'!D18,"#,##0.00")</f>
        <v>0.00</v>
      </c>
      <c r="E18" s="225">
        <f t="shared" si="1"/>
        <v>0</v>
      </c>
      <c r="F18" s="143">
        <f t="shared" si="2"/>
        <v>4</v>
      </c>
      <c r="G18" s="143" t="str">
        <f>TEXT('RAM_ECI-1_Caso-A'!G18,"#,##0.00")</f>
        <v>36.00</v>
      </c>
      <c r="H18" s="143" t="str">
        <f>TEXT('RAM_ECI-1_Caso-A'!H18,"#,##0.00")</f>
        <v>0.00</v>
      </c>
      <c r="I18" s="143">
        <f t="shared" si="3"/>
        <v>0</v>
      </c>
      <c r="J18" s="143">
        <v>19</v>
      </c>
      <c r="K18" s="143">
        <v>19</v>
      </c>
      <c r="L18" s="143" t="s">
        <v>340</v>
      </c>
      <c r="M18" s="143" t="s">
        <v>455</v>
      </c>
      <c r="N18" s="143" t="s">
        <v>456</v>
      </c>
      <c r="O18" s="143" t="s">
        <v>456</v>
      </c>
      <c r="P18" s="143" t="s">
        <v>455</v>
      </c>
      <c r="Q18" s="143" t="s">
        <v>456</v>
      </c>
      <c r="R18" s="143" t="s">
        <v>456</v>
      </c>
    </row>
    <row r="19" spans="1:18" x14ac:dyDescent="0.3">
      <c r="A19" s="143" t="s">
        <v>1334</v>
      </c>
      <c r="B19" s="143">
        <f t="shared" si="0"/>
        <v>6</v>
      </c>
      <c r="C19" s="143" t="str">
        <f>TEXT('RAM_ECI-1_Caso-A'!C19,"#,##0.00")</f>
        <v>3.42</v>
      </c>
      <c r="D19" s="143" t="str">
        <f>TEXT('RAM_ECI-1_Caso-A'!D19,"#,##0.00")</f>
        <v>10,532.20</v>
      </c>
      <c r="E19" s="225">
        <f t="shared" si="1"/>
        <v>0</v>
      </c>
      <c r="F19" s="143">
        <f t="shared" si="2"/>
        <v>6</v>
      </c>
      <c r="G19" s="143" t="str">
        <f>TEXT('RAM_ECI-1_Caso-A'!G19,"#,##0.00")</f>
        <v>0.93</v>
      </c>
      <c r="H19" s="143" t="str">
        <f>TEXT('RAM_ECI-1_Caso-A'!H19,"#,##0.00")</f>
        <v>4.93</v>
      </c>
      <c r="I19" s="143">
        <f t="shared" si="3"/>
        <v>0</v>
      </c>
      <c r="J19" s="143">
        <v>19</v>
      </c>
      <c r="K19" s="143">
        <v>19</v>
      </c>
      <c r="L19" s="143" t="s">
        <v>340</v>
      </c>
      <c r="M19" s="143" t="s">
        <v>455</v>
      </c>
      <c r="N19" s="143" t="s">
        <v>456</v>
      </c>
      <c r="O19" s="143" t="s">
        <v>456</v>
      </c>
      <c r="P19" s="143" t="s">
        <v>455</v>
      </c>
      <c r="Q19" s="143" t="s">
        <v>456</v>
      </c>
      <c r="R19" s="143" t="s">
        <v>456</v>
      </c>
    </row>
    <row r="20" spans="1:18" x14ac:dyDescent="0.3">
      <c r="A20" s="143" t="s">
        <v>1336</v>
      </c>
      <c r="B20" s="143">
        <f t="shared" si="0"/>
        <v>6</v>
      </c>
      <c r="C20" s="143" t="str">
        <f>TEXT('RAM_ECI-1_Caso-A'!C20,"#,##0.00")</f>
        <v>3.38</v>
      </c>
      <c r="D20" s="143" t="str">
        <f>TEXT('RAM_ECI-1_Caso-A'!D20,"#,##0.00")</f>
        <v>2,128.21</v>
      </c>
      <c r="E20" s="225">
        <f t="shared" si="1"/>
        <v>0</v>
      </c>
      <c r="F20" s="143">
        <f t="shared" si="2"/>
        <v>6</v>
      </c>
      <c r="G20" s="143" t="str">
        <f>TEXT('RAM_ECI-1_Caso-A'!G20,"#,##0.00")</f>
        <v>0.67</v>
      </c>
      <c r="H20" s="143" t="str">
        <f>TEXT('RAM_ECI-1_Caso-A'!H20,"#,##0.00")</f>
        <v>14.47</v>
      </c>
      <c r="I20" s="143">
        <f t="shared" si="3"/>
        <v>0</v>
      </c>
      <c r="J20" s="143">
        <v>19</v>
      </c>
      <c r="K20" s="143">
        <v>19</v>
      </c>
      <c r="L20" s="143" t="s">
        <v>340</v>
      </c>
      <c r="M20" s="143" t="s">
        <v>455</v>
      </c>
      <c r="N20" s="143" t="s">
        <v>456</v>
      </c>
      <c r="O20" s="143" t="s">
        <v>456</v>
      </c>
      <c r="P20" s="143" t="s">
        <v>455</v>
      </c>
      <c r="Q20" s="143" t="s">
        <v>456</v>
      </c>
      <c r="R20" s="143" t="s">
        <v>456</v>
      </c>
    </row>
    <row r="21" spans="1:18" x14ac:dyDescent="0.3">
      <c r="A21" s="143" t="s">
        <v>1338</v>
      </c>
      <c r="B21" s="143">
        <f t="shared" si="0"/>
        <v>6</v>
      </c>
      <c r="C21" s="143" t="str">
        <f>TEXT('RAM_ECI-1_Caso-A'!C21,"#,##0.00")</f>
        <v>6.39</v>
      </c>
      <c r="D21" s="143" t="str">
        <f>TEXT('RAM_ECI-1_Caso-A'!D21,"#,##0.00")</f>
        <v>11,030.06</v>
      </c>
      <c r="E21" s="225">
        <f t="shared" si="1"/>
        <v>0</v>
      </c>
      <c r="F21" s="143">
        <f t="shared" si="2"/>
        <v>6</v>
      </c>
      <c r="G21" s="143" t="str">
        <f>TEXT('RAM_ECI-1_Caso-A'!G21,"#,##0.00")</f>
        <v>0.98</v>
      </c>
      <c r="H21" s="143" t="str">
        <f>TEXT('RAM_ECI-1_Caso-A'!H21,"#,##0.00")</f>
        <v>4.28</v>
      </c>
      <c r="I21" s="143">
        <f t="shared" si="3"/>
        <v>0</v>
      </c>
      <c r="J21" s="143">
        <v>19</v>
      </c>
      <c r="K21" s="143">
        <v>19</v>
      </c>
      <c r="L21" s="143" t="s">
        <v>340</v>
      </c>
      <c r="M21" s="143" t="s">
        <v>455</v>
      </c>
      <c r="N21" s="143" t="s">
        <v>456</v>
      </c>
      <c r="O21" s="143" t="s">
        <v>456</v>
      </c>
      <c r="P21" s="143" t="s">
        <v>455</v>
      </c>
      <c r="Q21" s="143" t="s">
        <v>456</v>
      </c>
      <c r="R21" s="143" t="s">
        <v>456</v>
      </c>
    </row>
    <row r="22" spans="1:18" x14ac:dyDescent="0.3">
      <c r="A22" s="143" t="s">
        <v>1343</v>
      </c>
      <c r="B22" s="143">
        <f t="shared" si="0"/>
        <v>4</v>
      </c>
      <c r="C22" s="143" t="str">
        <f>TEXT('RAM_ECI-1_Caso-A'!C22,"#,##0.00")</f>
        <v>286,274,509.80</v>
      </c>
      <c r="D22" s="143" t="str">
        <f>TEXT('RAM_ECI-1_Caso-A'!D22,"#,##0.00")</f>
        <v>0.00</v>
      </c>
      <c r="E22" s="225">
        <f t="shared" si="1"/>
        <v>0</v>
      </c>
      <c r="F22" s="143">
        <f t="shared" si="2"/>
        <v>4</v>
      </c>
      <c r="G22" s="143" t="str">
        <f>TEXT('RAM_ECI-1_Caso-A'!G22,"#,##0.00")</f>
        <v>36.00</v>
      </c>
      <c r="H22" s="143" t="str">
        <f>TEXT('RAM_ECI-1_Caso-A'!H22,"#,##0.00")</f>
        <v>0.00</v>
      </c>
      <c r="I22" s="143">
        <f t="shared" si="3"/>
        <v>0</v>
      </c>
      <c r="J22" s="143">
        <v>19</v>
      </c>
      <c r="K22" s="143">
        <v>19</v>
      </c>
      <c r="L22" s="143" t="s">
        <v>340</v>
      </c>
      <c r="M22" s="143" t="s">
        <v>455</v>
      </c>
      <c r="N22" s="143" t="s">
        <v>456</v>
      </c>
      <c r="O22" s="143" t="s">
        <v>456</v>
      </c>
      <c r="P22" s="143" t="s">
        <v>455</v>
      </c>
      <c r="Q22" s="143" t="s">
        <v>456</v>
      </c>
      <c r="R22" s="143" t="s">
        <v>456</v>
      </c>
    </row>
    <row r="23" spans="1:18" x14ac:dyDescent="0.3">
      <c r="A23" s="143" t="s">
        <v>1345</v>
      </c>
      <c r="B23" s="143">
        <f t="shared" si="0"/>
        <v>4</v>
      </c>
      <c r="C23" s="143" t="e">
        <f>TEXT('RAM_ECI-1_Caso-A'!C23,"#,##0.00")</f>
        <v>#N/A</v>
      </c>
      <c r="D23" s="143" t="str">
        <f>TEXT('RAM_ECI-1_Caso-A'!D23,"#,##0.00")</f>
        <v>0.00</v>
      </c>
      <c r="E23" s="225">
        <f t="shared" si="1"/>
        <v>0</v>
      </c>
      <c r="F23" s="143">
        <f t="shared" si="2"/>
        <v>4</v>
      </c>
      <c r="G23" s="143" t="str">
        <f>TEXT('RAM_ECI-1_Caso-A'!G23,"#,##0.00")</f>
        <v>8.00</v>
      </c>
      <c r="H23" s="143" t="str">
        <f>TEXT('RAM_ECI-1_Caso-A'!H23,"#,##0.00")</f>
        <v>0.00</v>
      </c>
      <c r="I23" s="143">
        <f t="shared" si="3"/>
        <v>0</v>
      </c>
      <c r="J23" s="143">
        <v>19</v>
      </c>
      <c r="K23" s="143">
        <v>19</v>
      </c>
      <c r="L23" s="143" t="s">
        <v>340</v>
      </c>
      <c r="M23" s="143" t="s">
        <v>455</v>
      </c>
      <c r="N23" s="143" t="s">
        <v>456</v>
      </c>
      <c r="O23" s="143" t="s">
        <v>456</v>
      </c>
      <c r="P23" s="143" t="s">
        <v>455</v>
      </c>
      <c r="Q23" s="143" t="s">
        <v>456</v>
      </c>
      <c r="R23" s="143" t="s">
        <v>456</v>
      </c>
    </row>
    <row r="24" spans="1:18" x14ac:dyDescent="0.3">
      <c r="A24" s="143" t="s">
        <v>1347</v>
      </c>
      <c r="B24" s="143">
        <f t="shared" si="0"/>
        <v>4</v>
      </c>
      <c r="C24" s="143" t="str">
        <f>TEXT('RAM_ECI-1_Caso-A'!C24,"#,##0.00")</f>
        <v>286,274,509.80</v>
      </c>
      <c r="D24" s="143" t="str">
        <f>TEXT('RAM_ECI-1_Caso-A'!D24,"#,##0.00")</f>
        <v>0.00</v>
      </c>
      <c r="E24" s="225">
        <f t="shared" si="1"/>
        <v>0</v>
      </c>
      <c r="F24" s="143">
        <f t="shared" si="2"/>
        <v>4</v>
      </c>
      <c r="G24" s="143" t="str">
        <f>TEXT('RAM_ECI-1_Caso-A'!G24,"#,##0.00")</f>
        <v>36.00</v>
      </c>
      <c r="H24" s="143" t="str">
        <f>TEXT('RAM_ECI-1_Caso-A'!H24,"#,##0.00")</f>
        <v>0.00</v>
      </c>
      <c r="I24" s="143">
        <f t="shared" si="3"/>
        <v>0</v>
      </c>
      <c r="J24" s="143">
        <v>19</v>
      </c>
      <c r="K24" s="143">
        <v>19</v>
      </c>
      <c r="L24" s="143" t="s">
        <v>340</v>
      </c>
      <c r="M24" s="143" t="s">
        <v>455</v>
      </c>
      <c r="N24" s="143" t="s">
        <v>456</v>
      </c>
      <c r="O24" s="143" t="s">
        <v>456</v>
      </c>
      <c r="P24" s="143" t="s">
        <v>455</v>
      </c>
      <c r="Q24" s="143" t="s">
        <v>456</v>
      </c>
      <c r="R24" s="143" t="s">
        <v>456</v>
      </c>
    </row>
    <row r="25" spans="1:18" x14ac:dyDescent="0.3">
      <c r="A25" s="143" t="s">
        <v>1351</v>
      </c>
      <c r="B25" s="143">
        <f t="shared" si="0"/>
        <v>6</v>
      </c>
      <c r="C25" s="143" t="str">
        <f>TEXT('RAM_ECI-1_Caso-A'!C25,"#,##0.00")</f>
        <v>3.42</v>
      </c>
      <c r="D25" s="143" t="str">
        <f>TEXT('RAM_ECI-1_Caso-A'!D25,"#,##0.00")</f>
        <v>10,532.20</v>
      </c>
      <c r="E25" s="225">
        <f t="shared" si="1"/>
        <v>0</v>
      </c>
      <c r="F25" s="143">
        <f t="shared" si="2"/>
        <v>6</v>
      </c>
      <c r="G25" s="143" t="str">
        <f>TEXT('RAM_ECI-1_Caso-A'!G25,"#,##0.00")</f>
        <v>0.93</v>
      </c>
      <c r="H25" s="143" t="str">
        <f>TEXT('RAM_ECI-1_Caso-A'!H25,"#,##0.00")</f>
        <v>4.93</v>
      </c>
      <c r="I25" s="143">
        <f t="shared" si="3"/>
        <v>0</v>
      </c>
      <c r="J25" s="143">
        <v>19</v>
      </c>
      <c r="K25" s="143">
        <v>19</v>
      </c>
      <c r="L25" s="143" t="s">
        <v>340</v>
      </c>
      <c r="M25" s="143" t="s">
        <v>455</v>
      </c>
      <c r="N25" s="143" t="s">
        <v>456</v>
      </c>
      <c r="O25" s="143" t="s">
        <v>456</v>
      </c>
      <c r="P25" s="143" t="s">
        <v>455</v>
      </c>
      <c r="Q25" s="143" t="s">
        <v>456</v>
      </c>
      <c r="R25" s="143" t="s">
        <v>456</v>
      </c>
    </row>
    <row r="26" spans="1:18" x14ac:dyDescent="0.3">
      <c r="A26" s="143" t="s">
        <v>1354</v>
      </c>
      <c r="B26" s="143">
        <f t="shared" si="0"/>
        <v>6</v>
      </c>
      <c r="C26" s="143" t="str">
        <f>TEXT('RAM_ECI-1_Caso-A'!C26,"#,##0.00")</f>
        <v>6.76</v>
      </c>
      <c r="D26" s="143" t="str">
        <f>TEXT('RAM_ECI-1_Caso-A'!D26,"#,##0.00")</f>
        <v>68.86</v>
      </c>
      <c r="E26" s="225">
        <f t="shared" si="1"/>
        <v>0</v>
      </c>
      <c r="F26" s="143">
        <f t="shared" si="2"/>
        <v>6</v>
      </c>
      <c r="G26" s="143" t="str">
        <f>TEXT('RAM_ECI-1_Caso-A'!G26,"#,##0.00")</f>
        <v>0.53</v>
      </c>
      <c r="H26" s="143" t="str">
        <f>TEXT('RAM_ECI-1_Caso-A'!H26,"#,##0.00")</f>
        <v>43.10</v>
      </c>
      <c r="I26" s="143">
        <f t="shared" si="3"/>
        <v>0</v>
      </c>
      <c r="J26" s="143">
        <v>19</v>
      </c>
      <c r="K26" s="143">
        <v>19</v>
      </c>
      <c r="L26" s="143" t="s">
        <v>340</v>
      </c>
      <c r="M26" s="143" t="s">
        <v>455</v>
      </c>
      <c r="N26" s="143" t="s">
        <v>456</v>
      </c>
      <c r="O26" s="143" t="s">
        <v>456</v>
      </c>
      <c r="P26" s="143" t="s">
        <v>455</v>
      </c>
      <c r="Q26" s="143" t="s">
        <v>456</v>
      </c>
      <c r="R26" s="143" t="s">
        <v>456</v>
      </c>
    </row>
    <row r="27" spans="1:18" x14ac:dyDescent="0.3">
      <c r="A27" s="143" t="s">
        <v>1355</v>
      </c>
      <c r="B27" s="143">
        <f t="shared" si="0"/>
        <v>6</v>
      </c>
      <c r="C27" s="143" t="str">
        <f>TEXT('RAM_ECI-1_Caso-A'!C27,"#,##0.00")</f>
        <v>5.50</v>
      </c>
      <c r="D27" s="143" t="str">
        <f>TEXT('RAM_ECI-1_Caso-A'!D27,"#,##0.00")</f>
        <v>198.66</v>
      </c>
      <c r="E27" s="225">
        <f t="shared" si="1"/>
        <v>0</v>
      </c>
      <c r="F27" s="143">
        <f t="shared" si="2"/>
        <v>6</v>
      </c>
      <c r="G27" s="143" t="str">
        <f>TEXT('RAM_ECI-1_Caso-A'!G27,"#,##0.00")</f>
        <v>0.55</v>
      </c>
      <c r="H27" s="143" t="str">
        <f>TEXT('RAM_ECI-1_Caso-A'!H27,"#,##0.00")</f>
        <v>34.25</v>
      </c>
      <c r="I27" s="143">
        <f t="shared" si="3"/>
        <v>0</v>
      </c>
      <c r="J27" s="143">
        <v>19</v>
      </c>
      <c r="K27" s="143">
        <v>19</v>
      </c>
      <c r="L27" s="143" t="s">
        <v>340</v>
      </c>
      <c r="M27" s="143" t="s">
        <v>455</v>
      </c>
      <c r="N27" s="143" t="s">
        <v>456</v>
      </c>
      <c r="O27" s="143" t="s">
        <v>456</v>
      </c>
      <c r="P27" s="143" t="s">
        <v>455</v>
      </c>
      <c r="Q27" s="143" t="s">
        <v>456</v>
      </c>
      <c r="R27" s="143" t="s">
        <v>456</v>
      </c>
    </row>
    <row r="28" spans="1:18" x14ac:dyDescent="0.3">
      <c r="A28" s="143" t="s">
        <v>1358</v>
      </c>
      <c r="B28" s="143">
        <f t="shared" si="0"/>
        <v>6</v>
      </c>
      <c r="C28" s="143" t="str">
        <f>TEXT('RAM_ECI-1_Caso-A'!C28,"#,##0.00")</f>
        <v>5.88</v>
      </c>
      <c r="D28" s="143" t="str">
        <f>TEXT('RAM_ECI-1_Caso-A'!D28,"#,##0.00")</f>
        <v>6,887.95</v>
      </c>
      <c r="E28" s="225">
        <f t="shared" si="1"/>
        <v>0</v>
      </c>
      <c r="F28" s="143">
        <f t="shared" si="2"/>
        <v>6</v>
      </c>
      <c r="G28" s="143" t="str">
        <f>TEXT('RAM_ECI-1_Caso-A'!G28,"#,##0.00")</f>
        <v>2.93</v>
      </c>
      <c r="H28" s="143" t="str">
        <f>TEXT('RAM_ECI-1_Caso-A'!H28,"#,##0.00")</f>
        <v>0.34</v>
      </c>
      <c r="I28" s="143">
        <f t="shared" si="3"/>
        <v>0</v>
      </c>
      <c r="J28" s="143">
        <v>19</v>
      </c>
      <c r="K28" s="143">
        <v>19</v>
      </c>
      <c r="L28" s="143" t="s">
        <v>340</v>
      </c>
      <c r="M28" s="143" t="s">
        <v>455</v>
      </c>
      <c r="N28" s="143" t="s">
        <v>456</v>
      </c>
      <c r="O28" s="143" t="s">
        <v>456</v>
      </c>
      <c r="P28" s="143" t="s">
        <v>455</v>
      </c>
      <c r="Q28" s="143" t="s">
        <v>456</v>
      </c>
      <c r="R28" s="143" t="s">
        <v>456</v>
      </c>
    </row>
    <row r="29" spans="1:18" x14ac:dyDescent="0.3">
      <c r="A29" s="143" t="s">
        <v>1346</v>
      </c>
      <c r="B29" s="143">
        <f t="shared" si="0"/>
        <v>4</v>
      </c>
      <c r="C29" s="143" t="str">
        <f>TEXT('RAM_ECI-1_Caso-A'!C29,"#,##0.00")</f>
        <v>286,274,509.80</v>
      </c>
      <c r="D29" s="143" t="str">
        <f>TEXT('RAM_ECI-1_Caso-A'!D29,"#,##0.00")</f>
        <v>0.00</v>
      </c>
      <c r="E29" s="225">
        <f t="shared" si="1"/>
        <v>0</v>
      </c>
      <c r="F29" s="143">
        <f t="shared" si="2"/>
        <v>4</v>
      </c>
      <c r="G29" s="143" t="str">
        <f>TEXT('RAM_ECI-1_Caso-A'!G29,"#,##0.00")</f>
        <v>36.00</v>
      </c>
      <c r="H29" s="143" t="str">
        <f>TEXT('RAM_ECI-1_Caso-A'!H29,"#,##0.00")</f>
        <v>0.00</v>
      </c>
      <c r="I29" s="143">
        <f t="shared" si="3"/>
        <v>0</v>
      </c>
      <c r="J29" s="143">
        <v>19</v>
      </c>
      <c r="K29" s="143">
        <v>19</v>
      </c>
      <c r="L29" s="143" t="s">
        <v>340</v>
      </c>
      <c r="M29" s="143" t="s">
        <v>455</v>
      </c>
      <c r="N29" s="143" t="s">
        <v>456</v>
      </c>
      <c r="O29" s="143" t="s">
        <v>456</v>
      </c>
      <c r="P29" s="143" t="s">
        <v>455</v>
      </c>
      <c r="Q29" s="143" t="s">
        <v>456</v>
      </c>
      <c r="R29" s="143" t="s">
        <v>456</v>
      </c>
    </row>
    <row r="30" spans="1:18" x14ac:dyDescent="0.3">
      <c r="A30" s="143" t="s">
        <v>1360</v>
      </c>
      <c r="B30" s="143">
        <f t="shared" si="0"/>
        <v>4</v>
      </c>
      <c r="C30" s="143" t="str">
        <f>TEXT('RAM_ECI-1_Caso-A'!C30,"#,##0.00")</f>
        <v>286,274,509.80</v>
      </c>
      <c r="D30" s="143" t="str">
        <f>TEXT('RAM_ECI-1_Caso-A'!D30,"#,##0.00")</f>
        <v>0.00</v>
      </c>
      <c r="E30" s="225">
        <f t="shared" si="1"/>
        <v>0</v>
      </c>
      <c r="F30" s="143">
        <f t="shared" si="2"/>
        <v>4</v>
      </c>
      <c r="G30" s="143" t="str">
        <f>TEXT('RAM_ECI-1_Caso-A'!G30,"#,##0.00")</f>
        <v>36.00</v>
      </c>
      <c r="H30" s="143" t="str">
        <f>TEXT('RAM_ECI-1_Caso-A'!H30,"#,##0.00")</f>
        <v>0.00</v>
      </c>
      <c r="I30" s="143">
        <f t="shared" si="3"/>
        <v>0</v>
      </c>
      <c r="J30" s="143">
        <v>19</v>
      </c>
      <c r="K30" s="143">
        <v>19</v>
      </c>
      <c r="L30" s="143" t="s">
        <v>340</v>
      </c>
      <c r="M30" s="143" t="s">
        <v>455</v>
      </c>
      <c r="N30" s="143" t="s">
        <v>456</v>
      </c>
      <c r="O30" s="143" t="s">
        <v>456</v>
      </c>
      <c r="P30" s="143" t="s">
        <v>455</v>
      </c>
      <c r="Q30" s="143" t="s">
        <v>456</v>
      </c>
      <c r="R30" s="143" t="s">
        <v>456</v>
      </c>
    </row>
    <row r="31" spans="1:18" x14ac:dyDescent="0.3">
      <c r="A31" s="143" t="s">
        <v>1362</v>
      </c>
      <c r="B31" s="143">
        <f t="shared" si="0"/>
        <v>6</v>
      </c>
      <c r="C31" s="143" t="e">
        <f>TEXT('RAM_ECI-1_Caso-A'!C31,"#,##0.00")</f>
        <v>#N/A</v>
      </c>
      <c r="D31" s="143" t="e">
        <f>TEXT('RAM_ECI-1_Caso-A'!D31,"#,##0.00")</f>
        <v>#N/A</v>
      </c>
      <c r="E31" s="225">
        <f t="shared" si="1"/>
        <v>0</v>
      </c>
      <c r="F31" s="143">
        <f t="shared" si="2"/>
        <v>6</v>
      </c>
      <c r="G31" s="143" t="str">
        <f>TEXT('RAM_ECI-1_Caso-A'!G31,"#,##0.00")</f>
        <v>1.01</v>
      </c>
      <c r="H31" s="143" t="str">
        <f>TEXT('RAM_ECI-1_Caso-A'!H31,"#,##0.00")</f>
        <v>3.97</v>
      </c>
      <c r="I31" s="143">
        <f t="shared" si="3"/>
        <v>0</v>
      </c>
      <c r="J31" s="143">
        <v>19</v>
      </c>
      <c r="K31" s="143">
        <v>19</v>
      </c>
      <c r="L31" s="143" t="s">
        <v>340</v>
      </c>
      <c r="M31" s="143" t="s">
        <v>455</v>
      </c>
      <c r="N31" s="143" t="s">
        <v>456</v>
      </c>
      <c r="O31" s="143" t="s">
        <v>456</v>
      </c>
      <c r="P31" s="143" t="s">
        <v>455</v>
      </c>
      <c r="Q31" s="143" t="s">
        <v>456</v>
      </c>
      <c r="R31" s="143" t="s">
        <v>456</v>
      </c>
    </row>
    <row r="32" spans="1:18" x14ac:dyDescent="0.3">
      <c r="A32" s="143" t="s">
        <v>1361</v>
      </c>
      <c r="B32" s="143">
        <f t="shared" si="0"/>
        <v>4</v>
      </c>
      <c r="C32" s="143" t="str">
        <f>TEXT('RAM_ECI-1_Caso-A'!C32,"#,##0.00")</f>
        <v>286,274,509.80</v>
      </c>
      <c r="D32" s="143" t="str">
        <f>TEXT('RAM_ECI-1_Caso-A'!D32,"#,##0.00")</f>
        <v>0.00</v>
      </c>
      <c r="E32" s="225">
        <f t="shared" si="1"/>
        <v>0</v>
      </c>
      <c r="F32" s="143">
        <f t="shared" si="2"/>
        <v>4</v>
      </c>
      <c r="G32" s="143" t="str">
        <f>TEXT('RAM_ECI-1_Caso-A'!G32,"#,##0.00")</f>
        <v>36.00</v>
      </c>
      <c r="H32" s="143" t="str">
        <f>TEXT('RAM_ECI-1_Caso-A'!H32,"#,##0.00")</f>
        <v>0.00</v>
      </c>
      <c r="I32" s="143">
        <f t="shared" si="3"/>
        <v>0</v>
      </c>
      <c r="J32" s="143">
        <v>19</v>
      </c>
      <c r="K32" s="143">
        <v>19</v>
      </c>
      <c r="L32" s="143" t="s">
        <v>340</v>
      </c>
      <c r="M32" s="143" t="s">
        <v>455</v>
      </c>
      <c r="N32" s="143" t="s">
        <v>456</v>
      </c>
      <c r="O32" s="143" t="s">
        <v>456</v>
      </c>
      <c r="P32" s="143" t="s">
        <v>455</v>
      </c>
      <c r="Q32" s="143" t="s">
        <v>456</v>
      </c>
      <c r="R32" s="143" t="s">
        <v>456</v>
      </c>
    </row>
  </sheetData>
  <autoFilter ref="A2:R2" xr:uid="{00000000-0009-0000-0000-000002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FT31"/>
  <sheetViews>
    <sheetView workbookViewId="0"/>
  </sheetViews>
  <sheetFormatPr baseColWidth="10" defaultRowHeight="14.4" x14ac:dyDescent="0.3"/>
  <cols>
    <col min="1" max="176" width="36.6640625" customWidth="1"/>
  </cols>
  <sheetData>
    <row r="1" spans="1:176" x14ac:dyDescent="0.3">
      <c r="A1" s="24" t="s">
        <v>305</v>
      </c>
    </row>
    <row r="3" spans="1:176" x14ac:dyDescent="0.3">
      <c r="A3" s="3" t="s">
        <v>306</v>
      </c>
      <c r="B3" s="3" t="s">
        <v>307</v>
      </c>
      <c r="C3">
        <v>0</v>
      </c>
    </row>
    <row r="4" spans="1:176" x14ac:dyDescent="0.3">
      <c r="A4" s="3" t="s">
        <v>308</v>
      </c>
    </row>
    <row r="5" spans="1:176" x14ac:dyDescent="0.3">
      <c r="A5" s="3" t="s">
        <v>309</v>
      </c>
    </row>
    <row r="7" spans="1:176" x14ac:dyDescent="0.3">
      <c r="A7" s="24" t="s">
        <v>310</v>
      </c>
      <c r="B7" s="3" t="s">
        <v>311</v>
      </c>
    </row>
    <row r="8" spans="1:176" x14ac:dyDescent="0.3">
      <c r="B8">
        <v>176</v>
      </c>
    </row>
    <row r="10" spans="1:176" x14ac:dyDescent="0.3">
      <c r="A10" s="3" t="s">
        <v>312</v>
      </c>
    </row>
    <row r="11" spans="1:176" x14ac:dyDescent="0.3">
      <c r="B11" t="e">
        <f>'Plantilla Dt. Sht.'!#REF!</f>
        <v>#REF!</v>
      </c>
      <c r="C11" t="e">
        <f>'TPR Gamma'!#REF!</f>
        <v>#REF!</v>
      </c>
      <c r="D11" t="e">
        <f>#REF!</f>
        <v>#REF!</v>
      </c>
      <c r="E11" t="e">
        <f>#REF!</f>
        <v>#REF!</v>
      </c>
      <c r="F11" t="e">
        <f>#REF!</f>
        <v>#REF!</v>
      </c>
      <c r="G11" t="e">
        <f>#REF!</f>
        <v>#REF!</v>
      </c>
      <c r="H11" t="e">
        <f>#REF!</f>
        <v>#REF!</v>
      </c>
      <c r="I11" t="e">
        <f>#REF!</f>
        <v>#REF!</v>
      </c>
      <c r="J11" t="e">
        <f>#REF!</f>
        <v>#REF!</v>
      </c>
      <c r="K11" t="e">
        <f>#REF!</f>
        <v>#REF!</v>
      </c>
      <c r="L11" t="e">
        <f>#REF!</f>
        <v>#REF!</v>
      </c>
      <c r="M11" t="e">
        <f>#REF!</f>
        <v>#REF!</v>
      </c>
      <c r="N11" t="e">
        <f>#REF!</f>
        <v>#REF!</v>
      </c>
      <c r="O11" t="e">
        <f>#REF!</f>
        <v>#REF!</v>
      </c>
      <c r="P11" t="e">
        <f>#REF!</f>
        <v>#REF!</v>
      </c>
      <c r="Q11" t="e">
        <f>#REF!</f>
        <v>#REF!</v>
      </c>
      <c r="R11" t="e">
        <f>#REF!</f>
        <v>#REF!</v>
      </c>
      <c r="S11" t="e">
        <f>#REF!</f>
        <v>#REF!</v>
      </c>
      <c r="T11" t="e">
        <f>#REF!</f>
        <v>#REF!</v>
      </c>
      <c r="U11" t="e">
        <f>#REF!</f>
        <v>#REF!</v>
      </c>
      <c r="V11" t="e">
        <f>#REF!</f>
        <v>#REF!</v>
      </c>
      <c r="W11" t="e">
        <f>#REF!</f>
        <v>#REF!</v>
      </c>
      <c r="X11" t="e">
        <f>#REF!</f>
        <v>#REF!</v>
      </c>
      <c r="Y11" t="e">
        <f>#REF!</f>
        <v>#REF!</v>
      </c>
      <c r="Z11" t="e">
        <f>#REF!</f>
        <v>#REF!</v>
      </c>
      <c r="AA11" t="e">
        <f>#REF!</f>
        <v>#REF!</v>
      </c>
      <c r="AB11" t="e">
        <f>#REF!</f>
        <v>#REF!</v>
      </c>
      <c r="AC11" t="e">
        <f>#REF!</f>
        <v>#REF!</v>
      </c>
      <c r="AD11" t="e">
        <f>#REF!</f>
        <v>#REF!</v>
      </c>
      <c r="AE11" t="e">
        <f>#REF!</f>
        <v>#REF!</v>
      </c>
      <c r="AF11" t="e">
        <f>#REF!</f>
        <v>#REF!</v>
      </c>
      <c r="AG11" t="e">
        <f>#REF!</f>
        <v>#REF!</v>
      </c>
      <c r="AH11" t="e">
        <f>#REF!</f>
        <v>#REF!</v>
      </c>
      <c r="AI11" t="e">
        <f>#REF!</f>
        <v>#REF!</v>
      </c>
      <c r="AJ11" t="e">
        <f>#REF!</f>
        <v>#REF!</v>
      </c>
      <c r="AK11" t="e">
        <f>#REF!</f>
        <v>#REF!</v>
      </c>
      <c r="AL11" t="e">
        <f>#REF!</f>
        <v>#REF!</v>
      </c>
      <c r="AM11" t="e">
        <f>#REF!</f>
        <v>#REF!</v>
      </c>
      <c r="AN11" t="e">
        <f>#REF!</f>
        <v>#REF!</v>
      </c>
      <c r="AO11" t="e">
        <f>#REF!</f>
        <v>#REF!</v>
      </c>
      <c r="AP11" t="e">
        <f>#REF!</f>
        <v>#REF!</v>
      </c>
      <c r="AQ11" t="e">
        <f>#REF!</f>
        <v>#REF!</v>
      </c>
      <c r="AR11" t="e">
        <f>#REF!</f>
        <v>#REF!</v>
      </c>
      <c r="AS11" t="e">
        <f>#REF!</f>
        <v>#REF!</v>
      </c>
      <c r="AT11" t="e">
        <f>#REF!</f>
        <v>#REF!</v>
      </c>
      <c r="AU11" t="e">
        <f>#REF!</f>
        <v>#REF!</v>
      </c>
      <c r="AV11" t="e">
        <f>#REF!</f>
        <v>#REF!</v>
      </c>
      <c r="AW11" t="e">
        <f>#REF!</f>
        <v>#REF!</v>
      </c>
      <c r="AX11" t="e">
        <f>#REF!</f>
        <v>#REF!</v>
      </c>
      <c r="AY11" t="e">
        <f>#REF!</f>
        <v>#REF!</v>
      </c>
      <c r="AZ11" t="e">
        <f>#REF!</f>
        <v>#REF!</v>
      </c>
      <c r="BA11" t="e">
        <f>#REF!</f>
        <v>#REF!</v>
      </c>
      <c r="BB11" t="e">
        <f>#REF!</f>
        <v>#REF!</v>
      </c>
      <c r="BC11" t="e">
        <f>#REF!</f>
        <v>#REF!</v>
      </c>
      <c r="BD11" t="e">
        <f>#REF!</f>
        <v>#REF!</v>
      </c>
      <c r="BE11" t="e">
        <f>#REF!</f>
        <v>#REF!</v>
      </c>
      <c r="BF11" t="e">
        <f>#REF!</f>
        <v>#REF!</v>
      </c>
      <c r="BG11" t="e">
        <f>#REF!</f>
        <v>#REF!</v>
      </c>
      <c r="BH11" t="e">
        <f>#REF!</f>
        <v>#REF!</v>
      </c>
      <c r="BI11" t="e">
        <f>#REF!</f>
        <v>#REF!</v>
      </c>
      <c r="BJ11" t="e">
        <f>#REF!</f>
        <v>#REF!</v>
      </c>
      <c r="BK11" t="e">
        <f>#REF!</f>
        <v>#REF!</v>
      </c>
      <c r="BL11" t="e">
        <f>#REF!</f>
        <v>#REF!</v>
      </c>
      <c r="BM11" t="e">
        <f>#REF!</f>
        <v>#REF!</v>
      </c>
      <c r="BN11" t="e">
        <f>#REF!</f>
        <v>#REF!</v>
      </c>
      <c r="BO11" t="e">
        <f>#REF!</f>
        <v>#REF!</v>
      </c>
      <c r="BP11" t="e">
        <f>#REF!</f>
        <v>#REF!</v>
      </c>
      <c r="BQ11" t="e">
        <f>#REF!</f>
        <v>#REF!</v>
      </c>
      <c r="BR11" t="e">
        <f>#REF!</f>
        <v>#REF!</v>
      </c>
      <c r="BS11" t="e">
        <f>#REF!</f>
        <v>#REF!</v>
      </c>
      <c r="BT11" t="e">
        <f>#REF!</f>
        <v>#REF!</v>
      </c>
      <c r="BU11" t="e">
        <f>#REF!</f>
        <v>#REF!</v>
      </c>
      <c r="BV11" t="e">
        <f>#REF!</f>
        <v>#REF!</v>
      </c>
      <c r="BW11" t="e">
        <f>#REF!</f>
        <v>#REF!</v>
      </c>
      <c r="BX11" t="e">
        <f>#REF!</f>
        <v>#REF!</v>
      </c>
      <c r="BY11" t="e">
        <f>#REF!</f>
        <v>#REF!</v>
      </c>
      <c r="BZ11" t="e">
        <f>#REF!</f>
        <v>#REF!</v>
      </c>
      <c r="CA11" t="e">
        <f>#REF!</f>
        <v>#REF!</v>
      </c>
      <c r="CB11" t="e">
        <f>#REF!</f>
        <v>#REF!</v>
      </c>
      <c r="CC11" t="e">
        <f>#REF!</f>
        <v>#REF!</v>
      </c>
      <c r="CD11" t="e">
        <f>#REF!</f>
        <v>#REF!</v>
      </c>
      <c r="CE11" t="e">
        <f>#REF!</f>
        <v>#REF!</v>
      </c>
      <c r="CF11" t="e">
        <f>#REF!</f>
        <v>#REF!</v>
      </c>
      <c r="CG11" t="e">
        <f>#REF!</f>
        <v>#REF!</v>
      </c>
      <c r="CH11" t="e">
        <f>#REF!</f>
        <v>#REF!</v>
      </c>
      <c r="CI11" t="e">
        <f>#REF!</f>
        <v>#REF!</v>
      </c>
      <c r="CJ11" t="e">
        <f>#REF!</f>
        <v>#REF!</v>
      </c>
      <c r="CK11" t="e">
        <f>#REF!</f>
        <v>#REF!</v>
      </c>
      <c r="CL11" t="e">
        <f>#REF!</f>
        <v>#REF!</v>
      </c>
      <c r="CM11" t="e">
        <f>#REF!</f>
        <v>#REF!</v>
      </c>
      <c r="CN11" t="e">
        <f>#REF!</f>
        <v>#REF!</v>
      </c>
      <c r="CO11" t="e">
        <f>#REF!</f>
        <v>#REF!</v>
      </c>
      <c r="CP11" t="e">
        <f>#REF!</f>
        <v>#REF!</v>
      </c>
      <c r="CQ11" t="e">
        <f>#REF!</f>
        <v>#REF!</v>
      </c>
      <c r="CR11" t="e">
        <f>#REF!</f>
        <v>#REF!</v>
      </c>
      <c r="CS11" t="e">
        <f>#REF!</f>
        <v>#REF!</v>
      </c>
      <c r="CT11" t="e">
        <f>#REF!</f>
        <v>#REF!</v>
      </c>
      <c r="CU11" t="e">
        <f>#REF!</f>
        <v>#REF!</v>
      </c>
      <c r="CV11" t="e">
        <f>#REF!</f>
        <v>#REF!</v>
      </c>
      <c r="CW11" t="e">
        <f>#REF!</f>
        <v>#REF!</v>
      </c>
      <c r="CX11" t="e">
        <f>#REF!</f>
        <v>#REF!</v>
      </c>
      <c r="CY11" t="e">
        <f>#REF!</f>
        <v>#REF!</v>
      </c>
      <c r="CZ11" t="e">
        <f>#REF!</f>
        <v>#REF!</v>
      </c>
      <c r="DA11" t="e">
        <f>#REF!</f>
        <v>#REF!</v>
      </c>
      <c r="DB11" t="e">
        <f>#REF!</f>
        <v>#REF!</v>
      </c>
      <c r="DC11" t="e">
        <f>#REF!</f>
        <v>#REF!</v>
      </c>
      <c r="DD11" t="e">
        <f>#REF!</f>
        <v>#REF!</v>
      </c>
      <c r="DE11" t="e">
        <f>#REF!</f>
        <v>#REF!</v>
      </c>
      <c r="DF11" t="e">
        <f>#REF!</f>
        <v>#REF!</v>
      </c>
      <c r="DG11" t="e">
        <f>#REF!</f>
        <v>#REF!</v>
      </c>
      <c r="DH11" t="e">
        <f>#REF!</f>
        <v>#REF!</v>
      </c>
      <c r="DI11" t="e">
        <f>#REF!</f>
        <v>#REF!</v>
      </c>
      <c r="DJ11" t="e">
        <f>#REF!</f>
        <v>#REF!</v>
      </c>
      <c r="DK11" t="e">
        <f>#REF!</f>
        <v>#REF!</v>
      </c>
      <c r="DL11" t="e">
        <f>#REF!</f>
        <v>#REF!</v>
      </c>
      <c r="DM11" t="e">
        <f>#REF!</f>
        <v>#REF!</v>
      </c>
      <c r="DN11" t="e">
        <f>#REF!</f>
        <v>#REF!</v>
      </c>
      <c r="DO11" t="e">
        <f>#REF!</f>
        <v>#REF!</v>
      </c>
      <c r="DP11" t="e">
        <f>#REF!</f>
        <v>#REF!</v>
      </c>
      <c r="DQ11" t="e">
        <f>#REF!</f>
        <v>#REF!</v>
      </c>
      <c r="DR11" t="e">
        <f>#REF!</f>
        <v>#REF!</v>
      </c>
      <c r="DS11" t="e">
        <f>#REF!</f>
        <v>#REF!</v>
      </c>
      <c r="DT11" t="e">
        <f>#REF!</f>
        <v>#REF!</v>
      </c>
      <c r="DU11" t="e">
        <f>#REF!</f>
        <v>#REF!</v>
      </c>
      <c r="DV11" t="e">
        <f>#REF!</f>
        <v>#REF!</v>
      </c>
      <c r="DW11" t="e">
        <f>#REF!</f>
        <v>#REF!</v>
      </c>
      <c r="DX11" t="e">
        <f>#REF!</f>
        <v>#REF!</v>
      </c>
      <c r="DY11" t="e">
        <f>#REF!</f>
        <v>#REF!</v>
      </c>
      <c r="DZ11" t="e">
        <f>#REF!</f>
        <v>#REF!</v>
      </c>
      <c r="EA11" t="e">
        <f>#REF!</f>
        <v>#REF!</v>
      </c>
      <c r="EB11" t="e">
        <f>#REF!</f>
        <v>#REF!</v>
      </c>
      <c r="EC11" t="e">
        <f>#REF!</f>
        <v>#REF!</v>
      </c>
      <c r="ED11" t="e">
        <f>#REF!</f>
        <v>#REF!</v>
      </c>
      <c r="EE11" t="e">
        <f>#REF!</f>
        <v>#REF!</v>
      </c>
      <c r="EF11" t="e">
        <f>#REF!</f>
        <v>#REF!</v>
      </c>
      <c r="EG11" t="e">
        <f>#REF!</f>
        <v>#REF!</v>
      </c>
      <c r="EH11" t="e">
        <f>#REF!</f>
        <v>#REF!</v>
      </c>
      <c r="EI11" t="e">
        <f>#REF!</f>
        <v>#REF!</v>
      </c>
      <c r="EJ11" t="e">
        <f>#REF!</f>
        <v>#REF!</v>
      </c>
      <c r="EK11" t="e">
        <f>#REF!</f>
        <v>#REF!</v>
      </c>
      <c r="EL11" t="e">
        <f>#REF!</f>
        <v>#REF!</v>
      </c>
      <c r="EM11" t="e">
        <f>#REF!</f>
        <v>#REF!</v>
      </c>
      <c r="EN11" t="e">
        <f>#REF!</f>
        <v>#REF!</v>
      </c>
      <c r="EO11" t="e">
        <f>#REF!</f>
        <v>#REF!</v>
      </c>
      <c r="EP11" t="e">
        <f>#REF!</f>
        <v>#REF!</v>
      </c>
      <c r="EQ11" t="e">
        <f>#REF!</f>
        <v>#REF!</v>
      </c>
      <c r="ER11" t="e">
        <f>#REF!</f>
        <v>#REF!</v>
      </c>
      <c r="ES11" t="e">
        <f>#REF!</f>
        <v>#REF!</v>
      </c>
      <c r="ET11" t="e">
        <f>#REF!</f>
        <v>#REF!</v>
      </c>
      <c r="EU11" t="e">
        <f>#REF!</f>
        <v>#REF!</v>
      </c>
      <c r="EV11" t="e">
        <f>#REF!</f>
        <v>#REF!</v>
      </c>
      <c r="EW11" t="e">
        <f>#REF!</f>
        <v>#REF!</v>
      </c>
      <c r="EX11" t="e">
        <f>#REF!</f>
        <v>#REF!</v>
      </c>
      <c r="EY11" t="e">
        <f>#REF!</f>
        <v>#REF!</v>
      </c>
      <c r="EZ11" t="e">
        <f>#REF!</f>
        <v>#REF!</v>
      </c>
      <c r="FA11" t="e">
        <f>#REF!</f>
        <v>#REF!</v>
      </c>
      <c r="FB11" t="e">
        <f>#REF!</f>
        <v>#REF!</v>
      </c>
      <c r="FC11" t="e">
        <f>#REF!</f>
        <v>#REF!</v>
      </c>
      <c r="FD11" t="e">
        <f>#REF!</f>
        <v>#REF!</v>
      </c>
      <c r="FE11" t="e">
        <f>#REF!</f>
        <v>#REF!</v>
      </c>
      <c r="FF11" t="e">
        <f>#REF!</f>
        <v>#REF!</v>
      </c>
      <c r="FG11" t="e">
        <f>#REF!</f>
        <v>#REF!</v>
      </c>
      <c r="FH11" t="e">
        <f>#REF!</f>
        <v>#REF!</v>
      </c>
      <c r="FI11" t="e">
        <f>#REF!</f>
        <v>#REF!</v>
      </c>
      <c r="FJ11" t="e">
        <f>#REF!</f>
        <v>#REF!</v>
      </c>
      <c r="FK11" t="e">
        <f>#REF!</f>
        <v>#REF!</v>
      </c>
      <c r="FL11" t="e">
        <f>#REF!</f>
        <v>#REF!</v>
      </c>
      <c r="FM11" t="e">
        <f>#REF!</f>
        <v>#REF!</v>
      </c>
      <c r="FN11" t="e">
        <f>#REF!</f>
        <v>#REF!</v>
      </c>
      <c r="FO11" t="e">
        <f>#REF!</f>
        <v>#REF!</v>
      </c>
      <c r="FP11" t="e">
        <f>#REF!</f>
        <v>#REF!</v>
      </c>
      <c r="FQ11" t="e">
        <f>#REF!</f>
        <v>#REF!</v>
      </c>
      <c r="FR11" t="e">
        <f>#REF!</f>
        <v>#REF!</v>
      </c>
      <c r="FS11" t="e">
        <f>#REF!</f>
        <v>#REF!</v>
      </c>
      <c r="FT11" t="e">
        <f>#REF!</f>
        <v>#REF!</v>
      </c>
    </row>
    <row r="13" spans="1:176" x14ac:dyDescent="0.3">
      <c r="A13" s="3" t="s">
        <v>313</v>
      </c>
    </row>
    <row r="14" spans="1:176" x14ac:dyDescent="0.3">
      <c r="B14" s="25" t="s">
        <v>317</v>
      </c>
      <c r="C14" s="25" t="s">
        <v>383</v>
      </c>
      <c r="D14" s="25" t="s">
        <v>383</v>
      </c>
      <c r="E14" s="144" t="s">
        <v>317</v>
      </c>
      <c r="F14" s="144" t="s">
        <v>317</v>
      </c>
      <c r="G14" s="144" t="s">
        <v>317</v>
      </c>
      <c r="H14" s="144" t="s">
        <v>317</v>
      </c>
      <c r="I14" s="144" t="s">
        <v>317</v>
      </c>
      <c r="J14" s="144" t="s">
        <v>317</v>
      </c>
      <c r="K14" s="144" t="s">
        <v>317</v>
      </c>
      <c r="L14" s="144" t="s">
        <v>317</v>
      </c>
      <c r="M14" s="144" t="s">
        <v>317</v>
      </c>
      <c r="N14" s="144" t="s">
        <v>317</v>
      </c>
      <c r="O14" s="144" t="s">
        <v>317</v>
      </c>
      <c r="P14" s="144" t="s">
        <v>317</v>
      </c>
      <c r="Q14" s="144" t="s">
        <v>317</v>
      </c>
      <c r="R14" s="144" t="s">
        <v>317</v>
      </c>
      <c r="S14" s="144" t="s">
        <v>317</v>
      </c>
      <c r="T14" s="144" t="s">
        <v>317</v>
      </c>
      <c r="U14" s="144" t="s">
        <v>317</v>
      </c>
      <c r="V14" s="144" t="s">
        <v>317</v>
      </c>
      <c r="W14" s="144" t="s">
        <v>317</v>
      </c>
      <c r="X14" s="144" t="s">
        <v>317</v>
      </c>
      <c r="Y14" s="144" t="s">
        <v>317</v>
      </c>
      <c r="Z14" s="144" t="s">
        <v>317</v>
      </c>
      <c r="AA14" s="144" t="s">
        <v>317</v>
      </c>
      <c r="AB14" s="144" t="s">
        <v>317</v>
      </c>
      <c r="AC14" s="144" t="s">
        <v>317</v>
      </c>
      <c r="AD14" s="144" t="s">
        <v>317</v>
      </c>
      <c r="AE14" s="144" t="s">
        <v>317</v>
      </c>
      <c r="AF14" s="144" t="s">
        <v>317</v>
      </c>
      <c r="AG14" s="144" t="s">
        <v>317</v>
      </c>
      <c r="AH14" s="144" t="s">
        <v>317</v>
      </c>
      <c r="AI14" s="144" t="s">
        <v>317</v>
      </c>
      <c r="AJ14" s="144" t="s">
        <v>317</v>
      </c>
      <c r="AK14" s="144" t="s">
        <v>317</v>
      </c>
      <c r="AL14" s="144" t="s">
        <v>317</v>
      </c>
      <c r="AM14" s="144" t="s">
        <v>317</v>
      </c>
      <c r="AN14" s="144" t="s">
        <v>317</v>
      </c>
      <c r="AO14" s="144" t="s">
        <v>317</v>
      </c>
      <c r="AP14" s="144" t="s">
        <v>317</v>
      </c>
      <c r="AQ14" s="144" t="s">
        <v>317</v>
      </c>
      <c r="AR14" s="144" t="s">
        <v>317</v>
      </c>
      <c r="AS14" s="144" t="s">
        <v>317</v>
      </c>
      <c r="AT14" s="144" t="s">
        <v>317</v>
      </c>
      <c r="AU14" s="144" t="s">
        <v>317</v>
      </c>
      <c r="AV14" s="144" t="s">
        <v>317</v>
      </c>
      <c r="AW14" s="144" t="s">
        <v>317</v>
      </c>
      <c r="AX14" s="144" t="s">
        <v>317</v>
      </c>
      <c r="AY14" s="144" t="s">
        <v>317</v>
      </c>
      <c r="AZ14" s="144" t="s">
        <v>317</v>
      </c>
      <c r="BA14" s="144" t="s">
        <v>317</v>
      </c>
      <c r="BB14" s="144" t="s">
        <v>317</v>
      </c>
      <c r="BC14" s="144" t="s">
        <v>317</v>
      </c>
      <c r="BD14" s="144" t="s">
        <v>317</v>
      </c>
      <c r="BE14" s="144" t="s">
        <v>317</v>
      </c>
      <c r="BF14" s="144" t="s">
        <v>317</v>
      </c>
      <c r="BG14" s="144" t="s">
        <v>317</v>
      </c>
      <c r="BH14" s="144" t="s">
        <v>317</v>
      </c>
      <c r="BI14" s="144" t="s">
        <v>317</v>
      </c>
      <c r="BJ14" s="144" t="s">
        <v>317</v>
      </c>
      <c r="BK14" s="144" t="s">
        <v>317</v>
      </c>
      <c r="BL14" s="144" t="s">
        <v>317</v>
      </c>
      <c r="BM14" s="144" t="s">
        <v>317</v>
      </c>
      <c r="BN14" s="144" t="s">
        <v>317</v>
      </c>
      <c r="BO14" s="144" t="s">
        <v>317</v>
      </c>
      <c r="BP14" s="144" t="s">
        <v>317</v>
      </c>
      <c r="BQ14" s="144" t="s">
        <v>317</v>
      </c>
      <c r="BR14" s="144" t="s">
        <v>317</v>
      </c>
      <c r="BS14" s="144" t="s">
        <v>317</v>
      </c>
      <c r="BT14" s="144" t="s">
        <v>317</v>
      </c>
      <c r="BU14" s="144" t="s">
        <v>317</v>
      </c>
      <c r="BV14" s="144" t="s">
        <v>317</v>
      </c>
      <c r="BW14" s="144" t="s">
        <v>317</v>
      </c>
      <c r="BX14" s="144" t="s">
        <v>317</v>
      </c>
      <c r="BY14" s="144" t="s">
        <v>317</v>
      </c>
      <c r="BZ14" s="144" t="s">
        <v>317</v>
      </c>
      <c r="CA14" s="144" t="s">
        <v>317</v>
      </c>
      <c r="CB14" s="144" t="s">
        <v>317</v>
      </c>
      <c r="CC14" s="144" t="s">
        <v>317</v>
      </c>
      <c r="CD14" s="144" t="s">
        <v>317</v>
      </c>
      <c r="CE14" s="144" t="s">
        <v>317</v>
      </c>
      <c r="CF14" s="144" t="s">
        <v>317</v>
      </c>
      <c r="CG14" s="144" t="s">
        <v>317</v>
      </c>
      <c r="CH14" s="144" t="s">
        <v>317</v>
      </c>
      <c r="CI14" s="144" t="s">
        <v>317</v>
      </c>
      <c r="CJ14" s="144" t="s">
        <v>317</v>
      </c>
      <c r="CK14" s="144" t="s">
        <v>317</v>
      </c>
      <c r="CL14" s="144" t="s">
        <v>317</v>
      </c>
      <c r="CM14" s="144" t="s">
        <v>317</v>
      </c>
      <c r="CN14" s="144" t="s">
        <v>317</v>
      </c>
      <c r="CO14" s="144" t="s">
        <v>317</v>
      </c>
      <c r="CP14" s="144" t="s">
        <v>317</v>
      </c>
      <c r="CQ14" s="144" t="s">
        <v>317</v>
      </c>
      <c r="CR14" s="144" t="s">
        <v>317</v>
      </c>
      <c r="CS14" s="144" t="s">
        <v>317</v>
      </c>
      <c r="CT14" s="144" t="s">
        <v>317</v>
      </c>
      <c r="CU14" s="144" t="s">
        <v>317</v>
      </c>
      <c r="CV14" s="144" t="s">
        <v>317</v>
      </c>
      <c r="CW14" s="144" t="s">
        <v>317</v>
      </c>
      <c r="CX14" s="144" t="s">
        <v>317</v>
      </c>
      <c r="CY14" s="144" t="s">
        <v>317</v>
      </c>
      <c r="CZ14" s="144" t="s">
        <v>317</v>
      </c>
      <c r="DA14" s="144" t="s">
        <v>317</v>
      </c>
      <c r="DB14" s="144" t="s">
        <v>317</v>
      </c>
      <c r="DC14" s="144" t="s">
        <v>317</v>
      </c>
      <c r="DD14" s="144" t="s">
        <v>317</v>
      </c>
      <c r="DE14" s="144" t="s">
        <v>317</v>
      </c>
      <c r="DF14" s="144" t="s">
        <v>317</v>
      </c>
      <c r="DG14" s="144" t="s">
        <v>317</v>
      </c>
      <c r="DH14" s="144" t="s">
        <v>317</v>
      </c>
      <c r="DI14" s="144" t="s">
        <v>317</v>
      </c>
      <c r="DJ14" s="144" t="s">
        <v>317</v>
      </c>
      <c r="DK14" s="144" t="s">
        <v>317</v>
      </c>
      <c r="DL14" s="144" t="s">
        <v>317</v>
      </c>
      <c r="DM14" s="144" t="s">
        <v>317</v>
      </c>
      <c r="DN14" s="144" t="s">
        <v>317</v>
      </c>
      <c r="DO14" s="144" t="s">
        <v>317</v>
      </c>
      <c r="DP14" s="144" t="s">
        <v>317</v>
      </c>
      <c r="DQ14" s="144" t="s">
        <v>317</v>
      </c>
      <c r="DR14" s="144" t="s">
        <v>317</v>
      </c>
      <c r="DS14" s="144" t="s">
        <v>317</v>
      </c>
      <c r="DT14" s="144" t="s">
        <v>317</v>
      </c>
      <c r="DU14" s="144" t="s">
        <v>317</v>
      </c>
      <c r="DV14" s="144" t="s">
        <v>317</v>
      </c>
      <c r="DW14" s="144" t="s">
        <v>317</v>
      </c>
      <c r="DX14" s="144" t="s">
        <v>317</v>
      </c>
      <c r="DY14" s="144" t="s">
        <v>317</v>
      </c>
      <c r="DZ14" s="144" t="s">
        <v>317</v>
      </c>
      <c r="EA14" s="144" t="s">
        <v>317</v>
      </c>
      <c r="EB14" s="144" t="s">
        <v>317</v>
      </c>
      <c r="EC14" s="144" t="s">
        <v>317</v>
      </c>
      <c r="ED14" s="144" t="s">
        <v>317</v>
      </c>
      <c r="EE14" s="144" t="s">
        <v>317</v>
      </c>
      <c r="EF14" s="144" t="s">
        <v>317</v>
      </c>
      <c r="EG14" s="144" t="s">
        <v>317</v>
      </c>
      <c r="EH14" s="144" t="s">
        <v>317</v>
      </c>
      <c r="EI14" s="144" t="s">
        <v>317</v>
      </c>
      <c r="EJ14" s="144" t="s">
        <v>317</v>
      </c>
      <c r="EK14" s="144" t="s">
        <v>317</v>
      </c>
      <c r="EL14" s="144" t="s">
        <v>317</v>
      </c>
      <c r="EM14" s="144" t="s">
        <v>317</v>
      </c>
      <c r="EN14" s="144" t="s">
        <v>317</v>
      </c>
      <c r="EO14" s="144" t="s">
        <v>317</v>
      </c>
      <c r="EP14" s="144" t="s">
        <v>317</v>
      </c>
      <c r="EQ14" s="144" t="s">
        <v>317</v>
      </c>
      <c r="ER14" s="144" t="s">
        <v>317</v>
      </c>
      <c r="ES14" s="144" t="s">
        <v>317</v>
      </c>
      <c r="ET14" s="144" t="s">
        <v>317</v>
      </c>
      <c r="EU14" s="144" t="s">
        <v>317</v>
      </c>
      <c r="EV14" s="144" t="s">
        <v>317</v>
      </c>
      <c r="EW14" s="144" t="s">
        <v>317</v>
      </c>
      <c r="EX14" s="144" t="s">
        <v>317</v>
      </c>
      <c r="EY14" s="144" t="s">
        <v>317</v>
      </c>
      <c r="EZ14" s="144" t="s">
        <v>317</v>
      </c>
      <c r="FA14" s="144" t="s">
        <v>317</v>
      </c>
      <c r="FB14" s="144" t="s">
        <v>317</v>
      </c>
      <c r="FC14" s="144" t="s">
        <v>317</v>
      </c>
      <c r="FD14" s="144" t="s">
        <v>317</v>
      </c>
      <c r="FE14" s="144" t="s">
        <v>317</v>
      </c>
      <c r="FF14" s="144" t="s">
        <v>317</v>
      </c>
      <c r="FG14" s="144" t="s">
        <v>317</v>
      </c>
      <c r="FH14" s="144" t="s">
        <v>317</v>
      </c>
      <c r="FI14" s="144" t="s">
        <v>317</v>
      </c>
      <c r="FJ14" s="144" t="s">
        <v>317</v>
      </c>
      <c r="FK14" s="144" t="s">
        <v>317</v>
      </c>
      <c r="FL14" s="144" t="s">
        <v>317</v>
      </c>
      <c r="FM14" s="144" t="s">
        <v>317</v>
      </c>
      <c r="FN14" s="144" t="s">
        <v>317</v>
      </c>
      <c r="FO14" s="144" t="s">
        <v>317</v>
      </c>
      <c r="FP14" s="144" t="s">
        <v>317</v>
      </c>
      <c r="FQ14" s="144" t="s">
        <v>317</v>
      </c>
      <c r="FR14" s="144" t="s">
        <v>317</v>
      </c>
      <c r="FS14" s="144" t="s">
        <v>317</v>
      </c>
      <c r="FT14" s="144" t="s">
        <v>317</v>
      </c>
    </row>
    <row r="16" spans="1:176" x14ac:dyDescent="0.3">
      <c r="A16" s="3" t="s">
        <v>314</v>
      </c>
    </row>
    <row r="17" spans="1:176" x14ac:dyDescent="0.3">
      <c r="E17">
        <v>1</v>
      </c>
      <c r="F17">
        <v>1</v>
      </c>
    </row>
    <row r="19" spans="1:176" x14ac:dyDescent="0.3">
      <c r="A19" s="3" t="s">
        <v>315</v>
      </c>
    </row>
    <row r="20" spans="1:176" x14ac:dyDescent="0.3">
      <c r="B20">
        <v>31</v>
      </c>
      <c r="C20">
        <v>31</v>
      </c>
      <c r="D20">
        <v>31</v>
      </c>
      <c r="E20">
        <v>31</v>
      </c>
      <c r="F20">
        <v>31</v>
      </c>
      <c r="G20">
        <v>31</v>
      </c>
      <c r="H20">
        <v>31</v>
      </c>
      <c r="I20">
        <v>31</v>
      </c>
      <c r="J20">
        <v>31</v>
      </c>
      <c r="K20">
        <v>31</v>
      </c>
      <c r="L20">
        <v>31</v>
      </c>
      <c r="M20">
        <v>31</v>
      </c>
      <c r="N20">
        <v>31</v>
      </c>
      <c r="O20">
        <v>31</v>
      </c>
      <c r="P20">
        <v>31</v>
      </c>
      <c r="Q20">
        <v>31</v>
      </c>
      <c r="R20">
        <v>31</v>
      </c>
      <c r="S20">
        <v>31</v>
      </c>
      <c r="T20">
        <v>31</v>
      </c>
      <c r="U20">
        <v>31</v>
      </c>
      <c r="V20">
        <v>31</v>
      </c>
      <c r="W20">
        <v>31</v>
      </c>
      <c r="X20">
        <v>31</v>
      </c>
      <c r="Y20">
        <v>31</v>
      </c>
      <c r="Z20">
        <v>31</v>
      </c>
      <c r="AA20">
        <v>31</v>
      </c>
      <c r="AB20">
        <v>31</v>
      </c>
      <c r="AC20">
        <v>31</v>
      </c>
      <c r="AD20">
        <v>31</v>
      </c>
      <c r="AE20">
        <v>31</v>
      </c>
      <c r="AF20">
        <v>31</v>
      </c>
      <c r="AG20">
        <v>31</v>
      </c>
      <c r="AH20">
        <v>31</v>
      </c>
      <c r="AI20">
        <v>31</v>
      </c>
      <c r="AJ20">
        <v>31</v>
      </c>
      <c r="AK20">
        <v>31</v>
      </c>
      <c r="AL20">
        <v>31</v>
      </c>
      <c r="AM20">
        <v>31</v>
      </c>
      <c r="AN20">
        <v>31</v>
      </c>
      <c r="AO20">
        <v>31</v>
      </c>
      <c r="AP20">
        <v>31</v>
      </c>
      <c r="AQ20">
        <v>31</v>
      </c>
      <c r="AR20">
        <v>31</v>
      </c>
      <c r="AS20">
        <v>31</v>
      </c>
      <c r="AT20">
        <v>31</v>
      </c>
      <c r="AU20">
        <v>31</v>
      </c>
      <c r="AV20">
        <v>31</v>
      </c>
      <c r="AW20">
        <v>31</v>
      </c>
      <c r="AX20">
        <v>31</v>
      </c>
      <c r="AY20">
        <v>31</v>
      </c>
      <c r="AZ20">
        <v>31</v>
      </c>
      <c r="BA20">
        <v>31</v>
      </c>
      <c r="BB20">
        <v>31</v>
      </c>
      <c r="BC20">
        <v>31</v>
      </c>
      <c r="BD20">
        <v>31</v>
      </c>
      <c r="BE20">
        <v>31</v>
      </c>
      <c r="BF20">
        <v>31</v>
      </c>
      <c r="BG20">
        <v>31</v>
      </c>
      <c r="BH20">
        <v>31</v>
      </c>
      <c r="BI20">
        <v>31</v>
      </c>
      <c r="BJ20">
        <v>31</v>
      </c>
      <c r="BK20">
        <v>31</v>
      </c>
      <c r="BL20">
        <v>31</v>
      </c>
      <c r="BM20">
        <v>31</v>
      </c>
      <c r="BN20">
        <v>31</v>
      </c>
      <c r="BO20">
        <v>31</v>
      </c>
      <c r="BP20">
        <v>31</v>
      </c>
      <c r="BQ20">
        <v>31</v>
      </c>
      <c r="BR20">
        <v>31</v>
      </c>
      <c r="BS20">
        <v>31</v>
      </c>
      <c r="BT20">
        <v>31</v>
      </c>
      <c r="BU20">
        <v>31</v>
      </c>
      <c r="BV20">
        <v>31</v>
      </c>
      <c r="BW20">
        <v>31</v>
      </c>
      <c r="BX20">
        <v>31</v>
      </c>
      <c r="BY20">
        <v>31</v>
      </c>
      <c r="BZ20">
        <v>31</v>
      </c>
      <c r="CA20">
        <v>31</v>
      </c>
      <c r="CB20">
        <v>31</v>
      </c>
      <c r="CC20">
        <v>31</v>
      </c>
      <c r="CD20">
        <v>31</v>
      </c>
      <c r="CE20">
        <v>31</v>
      </c>
      <c r="CF20">
        <v>31</v>
      </c>
      <c r="CG20">
        <v>31</v>
      </c>
      <c r="CH20">
        <v>31</v>
      </c>
      <c r="CI20">
        <v>31</v>
      </c>
      <c r="CJ20">
        <v>31</v>
      </c>
      <c r="CK20">
        <v>31</v>
      </c>
      <c r="CL20">
        <v>31</v>
      </c>
      <c r="CM20">
        <v>31</v>
      </c>
      <c r="CN20">
        <v>31</v>
      </c>
      <c r="CO20">
        <v>31</v>
      </c>
      <c r="CP20">
        <v>31</v>
      </c>
      <c r="CQ20">
        <v>31</v>
      </c>
      <c r="CR20">
        <v>31</v>
      </c>
      <c r="CS20">
        <v>31</v>
      </c>
      <c r="CT20">
        <v>31</v>
      </c>
      <c r="CU20">
        <v>31</v>
      </c>
      <c r="CV20">
        <v>31</v>
      </c>
      <c r="CW20">
        <v>31</v>
      </c>
      <c r="CX20">
        <v>31</v>
      </c>
      <c r="CY20">
        <v>31</v>
      </c>
      <c r="CZ20">
        <v>31</v>
      </c>
      <c r="DA20">
        <v>31</v>
      </c>
      <c r="DB20">
        <v>31</v>
      </c>
      <c r="DC20">
        <v>31</v>
      </c>
      <c r="DD20">
        <v>31</v>
      </c>
      <c r="DE20">
        <v>31</v>
      </c>
      <c r="DF20">
        <v>31</v>
      </c>
      <c r="DG20">
        <v>31</v>
      </c>
      <c r="DH20">
        <v>31</v>
      </c>
      <c r="DI20">
        <v>31</v>
      </c>
      <c r="DJ20">
        <v>31</v>
      </c>
      <c r="DK20">
        <v>31</v>
      </c>
      <c r="DL20">
        <v>31</v>
      </c>
      <c r="DM20">
        <v>31</v>
      </c>
      <c r="DN20">
        <v>31</v>
      </c>
      <c r="DO20">
        <v>31</v>
      </c>
      <c r="DP20">
        <v>31</v>
      </c>
      <c r="DQ20">
        <v>31</v>
      </c>
      <c r="DR20">
        <v>31</v>
      </c>
      <c r="DS20">
        <v>31</v>
      </c>
      <c r="DT20">
        <v>31</v>
      </c>
      <c r="DU20">
        <v>31</v>
      </c>
      <c r="DV20">
        <v>31</v>
      </c>
      <c r="DW20">
        <v>31</v>
      </c>
      <c r="DX20">
        <v>31</v>
      </c>
      <c r="DY20">
        <v>31</v>
      </c>
      <c r="DZ20">
        <v>31</v>
      </c>
      <c r="EA20">
        <v>31</v>
      </c>
      <c r="EB20">
        <v>31</v>
      </c>
      <c r="EC20">
        <v>31</v>
      </c>
      <c r="ED20">
        <v>31</v>
      </c>
      <c r="EE20">
        <v>31</v>
      </c>
      <c r="EF20">
        <v>31</v>
      </c>
      <c r="EG20">
        <v>31</v>
      </c>
      <c r="EH20">
        <v>31</v>
      </c>
      <c r="EI20">
        <v>31</v>
      </c>
      <c r="EJ20">
        <v>31</v>
      </c>
      <c r="EK20">
        <v>31</v>
      </c>
      <c r="EL20">
        <v>31</v>
      </c>
      <c r="EM20">
        <v>31</v>
      </c>
      <c r="EN20">
        <v>31</v>
      </c>
      <c r="EO20">
        <v>31</v>
      </c>
      <c r="EP20">
        <v>31</v>
      </c>
      <c r="EQ20">
        <v>31</v>
      </c>
      <c r="ER20">
        <v>31</v>
      </c>
      <c r="ES20">
        <v>31</v>
      </c>
      <c r="ET20">
        <v>31</v>
      </c>
      <c r="EU20">
        <v>31</v>
      </c>
      <c r="EV20">
        <v>31</v>
      </c>
      <c r="EW20">
        <v>31</v>
      </c>
      <c r="EX20">
        <v>31</v>
      </c>
      <c r="EY20">
        <v>31</v>
      </c>
      <c r="EZ20">
        <v>31</v>
      </c>
      <c r="FA20">
        <v>31</v>
      </c>
      <c r="FB20">
        <v>31</v>
      </c>
      <c r="FC20">
        <v>31</v>
      </c>
      <c r="FD20">
        <v>31</v>
      </c>
      <c r="FE20">
        <v>31</v>
      </c>
      <c r="FF20">
        <v>31</v>
      </c>
      <c r="FG20">
        <v>31</v>
      </c>
      <c r="FH20">
        <v>31</v>
      </c>
      <c r="FI20">
        <v>31</v>
      </c>
      <c r="FJ20">
        <v>31</v>
      </c>
      <c r="FK20">
        <v>31</v>
      </c>
      <c r="FL20">
        <v>31</v>
      </c>
      <c r="FM20">
        <v>31</v>
      </c>
      <c r="FN20">
        <v>31</v>
      </c>
      <c r="FO20">
        <v>31</v>
      </c>
      <c r="FP20">
        <v>31</v>
      </c>
      <c r="FQ20">
        <v>31</v>
      </c>
      <c r="FR20">
        <v>31</v>
      </c>
      <c r="FS20">
        <v>31</v>
      </c>
      <c r="FT20">
        <v>31</v>
      </c>
    </row>
    <row r="25" spans="1:176" x14ac:dyDescent="0.3">
      <c r="A25" s="24" t="s">
        <v>316</v>
      </c>
    </row>
    <row r="26" spans="1:176" x14ac:dyDescent="0.3">
      <c r="B26" s="25" t="s">
        <v>318</v>
      </c>
      <c r="C26" s="25" t="s">
        <v>318</v>
      </c>
      <c r="D26" s="25" t="s">
        <v>318</v>
      </c>
      <c r="E26" s="144" t="s">
        <v>318</v>
      </c>
      <c r="F26" s="144" t="s">
        <v>318</v>
      </c>
      <c r="G26" s="144" t="s">
        <v>318</v>
      </c>
      <c r="H26" s="144" t="s">
        <v>318</v>
      </c>
      <c r="I26" s="144" t="s">
        <v>318</v>
      </c>
      <c r="J26" s="144" t="s">
        <v>318</v>
      </c>
      <c r="K26" s="144" t="s">
        <v>318</v>
      </c>
      <c r="L26" s="144" t="s">
        <v>318</v>
      </c>
      <c r="M26" s="144" t="s">
        <v>318</v>
      </c>
      <c r="N26" s="144" t="s">
        <v>318</v>
      </c>
      <c r="O26" s="144" t="s">
        <v>318</v>
      </c>
      <c r="P26" s="144" t="s">
        <v>318</v>
      </c>
      <c r="Q26" s="144" t="s">
        <v>318</v>
      </c>
      <c r="R26" s="144" t="s">
        <v>318</v>
      </c>
      <c r="S26" s="144" t="s">
        <v>318</v>
      </c>
      <c r="T26" s="144" t="s">
        <v>318</v>
      </c>
      <c r="U26" s="144" t="s">
        <v>318</v>
      </c>
      <c r="V26" s="144" t="s">
        <v>318</v>
      </c>
      <c r="W26" s="144" t="s">
        <v>318</v>
      </c>
      <c r="X26" s="144" t="s">
        <v>318</v>
      </c>
      <c r="Y26" s="144" t="s">
        <v>318</v>
      </c>
      <c r="Z26" s="144" t="s">
        <v>318</v>
      </c>
      <c r="AA26" s="144" t="s">
        <v>318</v>
      </c>
      <c r="AB26" s="144" t="s">
        <v>318</v>
      </c>
      <c r="AC26" s="144" t="s">
        <v>318</v>
      </c>
      <c r="AD26" s="144" t="s">
        <v>318</v>
      </c>
      <c r="AE26" s="144" t="s">
        <v>318</v>
      </c>
      <c r="AF26" s="144" t="s">
        <v>318</v>
      </c>
      <c r="AG26" s="144" t="s">
        <v>318</v>
      </c>
      <c r="AH26" s="144" t="s">
        <v>318</v>
      </c>
      <c r="AI26" s="144" t="s">
        <v>318</v>
      </c>
      <c r="AJ26" s="144" t="s">
        <v>318</v>
      </c>
      <c r="AK26" s="144" t="s">
        <v>318</v>
      </c>
      <c r="AL26" s="144" t="s">
        <v>318</v>
      </c>
      <c r="AM26" s="144" t="s">
        <v>318</v>
      </c>
      <c r="AN26" s="144" t="s">
        <v>318</v>
      </c>
      <c r="AO26" s="144" t="s">
        <v>318</v>
      </c>
      <c r="AP26" s="144" t="s">
        <v>318</v>
      </c>
      <c r="AQ26" s="144" t="s">
        <v>318</v>
      </c>
      <c r="AR26" s="144" t="s">
        <v>318</v>
      </c>
      <c r="AS26" s="144" t="s">
        <v>318</v>
      </c>
      <c r="AT26" s="144" t="s">
        <v>318</v>
      </c>
      <c r="AU26" s="144" t="s">
        <v>318</v>
      </c>
      <c r="AV26" s="144" t="s">
        <v>318</v>
      </c>
      <c r="AW26" s="144" t="s">
        <v>318</v>
      </c>
      <c r="AX26" s="144" t="s">
        <v>318</v>
      </c>
      <c r="AY26" s="144" t="s">
        <v>318</v>
      </c>
      <c r="AZ26" s="144" t="s">
        <v>318</v>
      </c>
      <c r="BA26" s="144" t="s">
        <v>318</v>
      </c>
      <c r="BB26" s="144" t="s">
        <v>318</v>
      </c>
      <c r="BC26" s="144" t="s">
        <v>318</v>
      </c>
      <c r="BD26" s="144" t="s">
        <v>318</v>
      </c>
      <c r="BE26" s="144" t="s">
        <v>318</v>
      </c>
      <c r="BF26" s="144" t="s">
        <v>318</v>
      </c>
      <c r="BG26" s="144" t="s">
        <v>318</v>
      </c>
      <c r="BH26" s="144" t="s">
        <v>318</v>
      </c>
      <c r="BI26" s="144" t="s">
        <v>318</v>
      </c>
      <c r="BJ26" s="144" t="s">
        <v>318</v>
      </c>
      <c r="BK26" s="144" t="s">
        <v>318</v>
      </c>
      <c r="BL26" s="144" t="s">
        <v>318</v>
      </c>
      <c r="BM26" s="144" t="s">
        <v>318</v>
      </c>
      <c r="BN26" s="144" t="s">
        <v>318</v>
      </c>
      <c r="BO26" s="144" t="s">
        <v>318</v>
      </c>
      <c r="BP26" s="144" t="s">
        <v>318</v>
      </c>
      <c r="BQ26" s="144" t="s">
        <v>318</v>
      </c>
      <c r="BR26" s="144" t="s">
        <v>318</v>
      </c>
      <c r="BS26" s="144" t="s">
        <v>318</v>
      </c>
      <c r="BT26" s="144" t="s">
        <v>318</v>
      </c>
      <c r="BU26" s="144" t="s">
        <v>318</v>
      </c>
      <c r="BV26" s="144" t="s">
        <v>318</v>
      </c>
      <c r="BW26" s="144" t="s">
        <v>318</v>
      </c>
      <c r="BX26" s="144" t="s">
        <v>318</v>
      </c>
      <c r="BY26" s="144" t="s">
        <v>318</v>
      </c>
      <c r="BZ26" s="144" t="s">
        <v>318</v>
      </c>
      <c r="CA26" s="144" t="s">
        <v>318</v>
      </c>
      <c r="CB26" s="144" t="s">
        <v>318</v>
      </c>
      <c r="CC26" s="144" t="s">
        <v>318</v>
      </c>
      <c r="CD26" s="144" t="s">
        <v>318</v>
      </c>
      <c r="CE26" s="144" t="s">
        <v>318</v>
      </c>
      <c r="CF26" s="144" t="s">
        <v>318</v>
      </c>
      <c r="CG26" s="144" t="s">
        <v>318</v>
      </c>
      <c r="CH26" s="144" t="s">
        <v>318</v>
      </c>
      <c r="CI26" s="144" t="s">
        <v>318</v>
      </c>
      <c r="CJ26" s="144" t="s">
        <v>318</v>
      </c>
      <c r="CK26" s="144" t="s">
        <v>318</v>
      </c>
      <c r="CL26" s="144" t="s">
        <v>318</v>
      </c>
      <c r="CM26" s="144" t="s">
        <v>318</v>
      </c>
      <c r="CN26" s="144" t="s">
        <v>318</v>
      </c>
      <c r="CO26" s="144" t="s">
        <v>318</v>
      </c>
      <c r="CP26" s="144" t="s">
        <v>318</v>
      </c>
      <c r="CQ26" s="144" t="s">
        <v>318</v>
      </c>
      <c r="CR26" s="144" t="s">
        <v>318</v>
      </c>
      <c r="CS26" s="144" t="s">
        <v>318</v>
      </c>
      <c r="CT26" s="144" t="s">
        <v>318</v>
      </c>
      <c r="CU26" s="144" t="s">
        <v>318</v>
      </c>
      <c r="CV26" s="144" t="s">
        <v>318</v>
      </c>
      <c r="CW26" s="144" t="s">
        <v>318</v>
      </c>
      <c r="CX26" s="144" t="s">
        <v>318</v>
      </c>
      <c r="CY26" s="144" t="s">
        <v>318</v>
      </c>
      <c r="CZ26" s="144" t="s">
        <v>318</v>
      </c>
      <c r="DA26" s="144" t="s">
        <v>318</v>
      </c>
      <c r="DB26" s="144" t="s">
        <v>318</v>
      </c>
      <c r="DC26" s="144" t="s">
        <v>318</v>
      </c>
      <c r="DD26" s="144" t="s">
        <v>318</v>
      </c>
      <c r="DE26" s="144" t="s">
        <v>318</v>
      </c>
      <c r="DF26" s="144" t="s">
        <v>318</v>
      </c>
      <c r="DG26" s="144" t="s">
        <v>318</v>
      </c>
      <c r="DH26" s="144" t="s">
        <v>318</v>
      </c>
      <c r="DI26" s="144" t="s">
        <v>318</v>
      </c>
      <c r="DJ26" s="144" t="s">
        <v>318</v>
      </c>
      <c r="DK26" s="144" t="s">
        <v>318</v>
      </c>
      <c r="DL26" s="144" t="s">
        <v>318</v>
      </c>
      <c r="DM26" s="144" t="s">
        <v>318</v>
      </c>
      <c r="DN26" s="144" t="s">
        <v>318</v>
      </c>
      <c r="DO26" s="144" t="s">
        <v>318</v>
      </c>
      <c r="DP26" s="144" t="s">
        <v>318</v>
      </c>
      <c r="DQ26" s="144" t="s">
        <v>318</v>
      </c>
      <c r="DR26" s="144" t="s">
        <v>318</v>
      </c>
      <c r="DS26" s="144" t="s">
        <v>318</v>
      </c>
      <c r="DT26" s="144" t="s">
        <v>318</v>
      </c>
      <c r="DU26" s="144" t="s">
        <v>318</v>
      </c>
      <c r="DV26" s="144" t="s">
        <v>318</v>
      </c>
      <c r="DW26" s="144" t="s">
        <v>318</v>
      </c>
      <c r="DX26" s="144" t="s">
        <v>318</v>
      </c>
      <c r="DY26" s="144" t="s">
        <v>318</v>
      </c>
      <c r="DZ26" s="144" t="s">
        <v>318</v>
      </c>
      <c r="EA26" s="144" t="s">
        <v>318</v>
      </c>
      <c r="EB26" s="144" t="s">
        <v>318</v>
      </c>
      <c r="EC26" s="144" t="s">
        <v>318</v>
      </c>
      <c r="ED26" s="144" t="s">
        <v>318</v>
      </c>
      <c r="EE26" s="144" t="s">
        <v>318</v>
      </c>
      <c r="EF26" s="144" t="s">
        <v>318</v>
      </c>
      <c r="EG26" s="144" t="s">
        <v>318</v>
      </c>
      <c r="EH26" s="144" t="s">
        <v>318</v>
      </c>
      <c r="EI26" s="144" t="s">
        <v>318</v>
      </c>
      <c r="EJ26" s="144" t="s">
        <v>318</v>
      </c>
      <c r="EK26" s="144" t="s">
        <v>318</v>
      </c>
      <c r="EL26" s="144" t="s">
        <v>318</v>
      </c>
      <c r="EM26" s="144" t="s">
        <v>318</v>
      </c>
      <c r="EN26" s="144" t="s">
        <v>318</v>
      </c>
      <c r="EO26" s="144" t="s">
        <v>318</v>
      </c>
      <c r="EP26" s="144" t="s">
        <v>318</v>
      </c>
      <c r="EQ26" s="144" t="s">
        <v>318</v>
      </c>
      <c r="ER26" s="144" t="s">
        <v>318</v>
      </c>
      <c r="ES26" s="144" t="s">
        <v>318</v>
      </c>
      <c r="ET26" s="144" t="s">
        <v>318</v>
      </c>
      <c r="EU26" s="144" t="s">
        <v>318</v>
      </c>
      <c r="EV26" s="144" t="s">
        <v>318</v>
      </c>
      <c r="EW26" s="144" t="s">
        <v>318</v>
      </c>
      <c r="EX26" s="144" t="s">
        <v>318</v>
      </c>
      <c r="EY26" s="144" t="s">
        <v>318</v>
      </c>
      <c r="EZ26" s="144" t="s">
        <v>318</v>
      </c>
      <c r="FA26" s="144" t="s">
        <v>318</v>
      </c>
      <c r="FB26" s="144" t="s">
        <v>318</v>
      </c>
      <c r="FC26" s="144" t="s">
        <v>318</v>
      </c>
      <c r="FD26" s="144" t="s">
        <v>318</v>
      </c>
      <c r="FE26" s="144" t="s">
        <v>318</v>
      </c>
      <c r="FF26" s="144" t="s">
        <v>318</v>
      </c>
      <c r="FG26" s="144" t="s">
        <v>318</v>
      </c>
      <c r="FH26" s="144" t="s">
        <v>318</v>
      </c>
      <c r="FI26" s="144" t="s">
        <v>318</v>
      </c>
      <c r="FJ26" s="144" t="s">
        <v>318</v>
      </c>
      <c r="FK26" s="144" t="s">
        <v>318</v>
      </c>
      <c r="FL26" s="144" t="s">
        <v>318</v>
      </c>
      <c r="FM26" s="144" t="s">
        <v>318</v>
      </c>
      <c r="FN26" s="144" t="s">
        <v>318</v>
      </c>
      <c r="FO26" s="144" t="s">
        <v>318</v>
      </c>
      <c r="FP26" s="144" t="s">
        <v>318</v>
      </c>
      <c r="FQ26" s="144" t="s">
        <v>318</v>
      </c>
      <c r="FR26" s="144" t="s">
        <v>318</v>
      </c>
      <c r="FS26" s="144" t="s">
        <v>318</v>
      </c>
      <c r="FT26" s="144" t="s">
        <v>318</v>
      </c>
    </row>
    <row r="27" spans="1:176" x14ac:dyDescent="0.3">
      <c r="B27" s="3" t="s">
        <v>319</v>
      </c>
      <c r="C27" s="3" t="s">
        <v>384</v>
      </c>
      <c r="D27" s="3" t="s">
        <v>384</v>
      </c>
      <c r="E27" s="141" t="s">
        <v>319</v>
      </c>
      <c r="F27" s="141" t="s">
        <v>319</v>
      </c>
      <c r="G27" s="141" t="s">
        <v>319</v>
      </c>
      <c r="H27" s="141" t="s">
        <v>319</v>
      </c>
      <c r="I27" s="141" t="s">
        <v>319</v>
      </c>
      <c r="J27" s="141" t="s">
        <v>319</v>
      </c>
      <c r="K27" s="141" t="s">
        <v>319</v>
      </c>
      <c r="L27" s="141" t="s">
        <v>319</v>
      </c>
      <c r="M27" s="141" t="s">
        <v>319</v>
      </c>
      <c r="N27" s="141" t="s">
        <v>319</v>
      </c>
      <c r="O27" s="141" t="s">
        <v>319</v>
      </c>
      <c r="P27" s="141" t="s">
        <v>319</v>
      </c>
      <c r="Q27" s="141" t="s">
        <v>319</v>
      </c>
      <c r="R27" s="141" t="s">
        <v>319</v>
      </c>
      <c r="S27" s="141" t="s">
        <v>319</v>
      </c>
      <c r="T27" s="141" t="s">
        <v>319</v>
      </c>
      <c r="U27" s="141" t="s">
        <v>319</v>
      </c>
      <c r="V27" s="141" t="s">
        <v>319</v>
      </c>
      <c r="W27" s="141" t="s">
        <v>319</v>
      </c>
      <c r="X27" s="141" t="s">
        <v>319</v>
      </c>
      <c r="Y27" s="141" t="s">
        <v>319</v>
      </c>
      <c r="Z27" s="141" t="s">
        <v>319</v>
      </c>
      <c r="AA27" s="141" t="s">
        <v>319</v>
      </c>
      <c r="AB27" s="141" t="s">
        <v>319</v>
      </c>
      <c r="AC27" s="141" t="s">
        <v>319</v>
      </c>
      <c r="AD27" s="141" t="s">
        <v>319</v>
      </c>
      <c r="AE27" s="141" t="s">
        <v>319</v>
      </c>
      <c r="AF27" s="141" t="s">
        <v>319</v>
      </c>
      <c r="AG27" s="141" t="s">
        <v>319</v>
      </c>
      <c r="AH27" s="141" t="s">
        <v>319</v>
      </c>
      <c r="AI27" s="141" t="s">
        <v>319</v>
      </c>
      <c r="AJ27" s="141" t="s">
        <v>319</v>
      </c>
      <c r="AK27" s="141" t="s">
        <v>319</v>
      </c>
      <c r="AL27" s="141" t="s">
        <v>319</v>
      </c>
      <c r="AM27" s="141" t="s">
        <v>319</v>
      </c>
      <c r="AN27" s="141" t="s">
        <v>319</v>
      </c>
      <c r="AO27" s="141" t="s">
        <v>319</v>
      </c>
      <c r="AP27" s="141" t="s">
        <v>319</v>
      </c>
      <c r="AQ27" s="141" t="s">
        <v>319</v>
      </c>
      <c r="AR27" s="141" t="s">
        <v>319</v>
      </c>
      <c r="AS27" s="141" t="s">
        <v>319</v>
      </c>
      <c r="AT27" s="141" t="s">
        <v>319</v>
      </c>
      <c r="AU27" s="141" t="s">
        <v>319</v>
      </c>
      <c r="AV27" s="141" t="s">
        <v>319</v>
      </c>
      <c r="AW27" s="141" t="s">
        <v>319</v>
      </c>
      <c r="AX27" s="141" t="s">
        <v>319</v>
      </c>
      <c r="AY27" s="141" t="s">
        <v>319</v>
      </c>
      <c r="AZ27" s="141" t="s">
        <v>319</v>
      </c>
      <c r="BA27" s="141" t="s">
        <v>319</v>
      </c>
      <c r="BB27" s="141" t="s">
        <v>319</v>
      </c>
      <c r="BC27" s="141" t="s">
        <v>319</v>
      </c>
      <c r="BD27" s="141" t="s">
        <v>319</v>
      </c>
      <c r="BE27" s="141" t="s">
        <v>319</v>
      </c>
      <c r="BF27" s="141" t="s">
        <v>319</v>
      </c>
      <c r="BG27" s="141" t="s">
        <v>319</v>
      </c>
      <c r="BH27" s="141" t="s">
        <v>319</v>
      </c>
      <c r="BI27" s="141" t="s">
        <v>319</v>
      </c>
      <c r="BJ27" s="141" t="s">
        <v>319</v>
      </c>
      <c r="BK27" s="141" t="s">
        <v>319</v>
      </c>
      <c r="BL27" s="141" t="s">
        <v>319</v>
      </c>
      <c r="BM27" s="141" t="s">
        <v>319</v>
      </c>
      <c r="BN27" s="141" t="s">
        <v>319</v>
      </c>
      <c r="BO27" s="141" t="s">
        <v>319</v>
      </c>
      <c r="BP27" s="141" t="s">
        <v>319</v>
      </c>
      <c r="BQ27" s="141" t="s">
        <v>319</v>
      </c>
      <c r="BR27" s="141" t="s">
        <v>319</v>
      </c>
      <c r="BS27" s="141" t="s">
        <v>319</v>
      </c>
      <c r="BT27" s="141" t="s">
        <v>319</v>
      </c>
      <c r="BU27" s="141" t="s">
        <v>319</v>
      </c>
      <c r="BV27" s="141" t="s">
        <v>319</v>
      </c>
      <c r="BW27" s="141" t="s">
        <v>319</v>
      </c>
      <c r="BX27" s="141" t="s">
        <v>319</v>
      </c>
      <c r="BY27" s="141" t="s">
        <v>319</v>
      </c>
      <c r="BZ27" s="141" t="s">
        <v>319</v>
      </c>
      <c r="CA27" s="141" t="s">
        <v>319</v>
      </c>
      <c r="CB27" s="141" t="s">
        <v>319</v>
      </c>
      <c r="CC27" s="141" t="s">
        <v>319</v>
      </c>
      <c r="CD27" s="141" t="s">
        <v>319</v>
      </c>
      <c r="CE27" s="141" t="s">
        <v>319</v>
      </c>
      <c r="CF27" s="141" t="s">
        <v>319</v>
      </c>
      <c r="CG27" s="141" t="s">
        <v>319</v>
      </c>
      <c r="CH27" s="141" t="s">
        <v>319</v>
      </c>
      <c r="CI27" s="141" t="s">
        <v>319</v>
      </c>
      <c r="CJ27" s="141" t="s">
        <v>319</v>
      </c>
      <c r="CK27" s="141" t="s">
        <v>319</v>
      </c>
      <c r="CL27" s="141" t="s">
        <v>319</v>
      </c>
      <c r="CM27" s="141" t="s">
        <v>319</v>
      </c>
      <c r="CN27" s="141" t="s">
        <v>319</v>
      </c>
      <c r="CO27" s="141" t="s">
        <v>319</v>
      </c>
      <c r="CP27" s="141" t="s">
        <v>319</v>
      </c>
      <c r="CQ27" s="141" t="s">
        <v>319</v>
      </c>
      <c r="CR27" s="141" t="s">
        <v>319</v>
      </c>
      <c r="CS27" s="141" t="s">
        <v>319</v>
      </c>
      <c r="CT27" s="141" t="s">
        <v>319</v>
      </c>
      <c r="CU27" s="141" t="s">
        <v>319</v>
      </c>
      <c r="CV27" s="141" t="s">
        <v>319</v>
      </c>
      <c r="CW27" s="141" t="s">
        <v>319</v>
      </c>
      <c r="CX27" s="141" t="s">
        <v>319</v>
      </c>
      <c r="CY27" s="141" t="s">
        <v>319</v>
      </c>
      <c r="CZ27" s="141" t="s">
        <v>319</v>
      </c>
      <c r="DA27" s="141" t="s">
        <v>319</v>
      </c>
      <c r="DB27" s="141" t="s">
        <v>319</v>
      </c>
      <c r="DC27" s="141" t="s">
        <v>319</v>
      </c>
      <c r="DD27" s="141" t="s">
        <v>319</v>
      </c>
      <c r="DE27" s="141" t="s">
        <v>319</v>
      </c>
      <c r="DF27" s="141" t="s">
        <v>319</v>
      </c>
      <c r="DG27" s="141" t="s">
        <v>319</v>
      </c>
      <c r="DH27" s="141" t="s">
        <v>319</v>
      </c>
      <c r="DI27" s="141" t="s">
        <v>319</v>
      </c>
      <c r="DJ27" s="141" t="s">
        <v>319</v>
      </c>
      <c r="DK27" s="141" t="s">
        <v>319</v>
      </c>
      <c r="DL27" s="141" t="s">
        <v>319</v>
      </c>
      <c r="DM27" s="141" t="s">
        <v>319</v>
      </c>
      <c r="DN27" s="141" t="s">
        <v>319</v>
      </c>
      <c r="DO27" s="141" t="s">
        <v>319</v>
      </c>
      <c r="DP27" s="141" t="s">
        <v>319</v>
      </c>
      <c r="DQ27" s="141" t="s">
        <v>319</v>
      </c>
      <c r="DR27" s="141" t="s">
        <v>319</v>
      </c>
      <c r="DS27" s="141" t="s">
        <v>319</v>
      </c>
      <c r="DT27" s="141" t="s">
        <v>319</v>
      </c>
      <c r="DU27" s="141" t="s">
        <v>319</v>
      </c>
      <c r="DV27" s="141" t="s">
        <v>319</v>
      </c>
      <c r="DW27" s="141" t="s">
        <v>319</v>
      </c>
      <c r="DX27" s="141" t="s">
        <v>319</v>
      </c>
      <c r="DY27" s="141" t="s">
        <v>319</v>
      </c>
      <c r="DZ27" s="141" t="s">
        <v>319</v>
      </c>
      <c r="EA27" s="141" t="s">
        <v>319</v>
      </c>
      <c r="EB27" s="141" t="s">
        <v>319</v>
      </c>
      <c r="EC27" s="141" t="s">
        <v>319</v>
      </c>
      <c r="ED27" s="141" t="s">
        <v>319</v>
      </c>
      <c r="EE27" s="141" t="s">
        <v>319</v>
      </c>
      <c r="EF27" s="141" t="s">
        <v>319</v>
      </c>
      <c r="EG27" s="141" t="s">
        <v>319</v>
      </c>
      <c r="EH27" s="141" t="s">
        <v>319</v>
      </c>
      <c r="EI27" s="141" t="s">
        <v>319</v>
      </c>
      <c r="EJ27" s="141" t="s">
        <v>319</v>
      </c>
      <c r="EK27" s="141" t="s">
        <v>319</v>
      </c>
      <c r="EL27" s="141" t="s">
        <v>319</v>
      </c>
      <c r="EM27" s="141" t="s">
        <v>319</v>
      </c>
      <c r="EN27" s="141" t="s">
        <v>319</v>
      </c>
      <c r="EO27" s="141" t="s">
        <v>319</v>
      </c>
      <c r="EP27" s="141" t="s">
        <v>319</v>
      </c>
      <c r="EQ27" s="141" t="s">
        <v>319</v>
      </c>
      <c r="ER27" s="141" t="s">
        <v>319</v>
      </c>
      <c r="ES27" s="141" t="s">
        <v>319</v>
      </c>
      <c r="ET27" s="141" t="s">
        <v>319</v>
      </c>
      <c r="EU27" s="141" t="s">
        <v>319</v>
      </c>
      <c r="EV27" s="141" t="s">
        <v>319</v>
      </c>
      <c r="EW27" s="141" t="s">
        <v>319</v>
      </c>
      <c r="EX27" s="141" t="s">
        <v>319</v>
      </c>
      <c r="EY27" s="141" t="s">
        <v>319</v>
      </c>
      <c r="EZ27" s="141" t="s">
        <v>319</v>
      </c>
      <c r="FA27" s="141" t="s">
        <v>319</v>
      </c>
      <c r="FB27" s="141" t="s">
        <v>319</v>
      </c>
      <c r="FC27" s="141" t="s">
        <v>319</v>
      </c>
      <c r="FD27" s="141" t="s">
        <v>319</v>
      </c>
      <c r="FE27" s="141" t="s">
        <v>319</v>
      </c>
      <c r="FF27" s="141" t="s">
        <v>319</v>
      </c>
      <c r="FG27" s="141" t="s">
        <v>319</v>
      </c>
      <c r="FH27" s="141" t="s">
        <v>319</v>
      </c>
      <c r="FI27" s="141" t="s">
        <v>319</v>
      </c>
      <c r="FJ27" s="141" t="s">
        <v>319</v>
      </c>
      <c r="FK27" s="141" t="s">
        <v>319</v>
      </c>
      <c r="FL27" s="141" t="s">
        <v>319</v>
      </c>
      <c r="FM27" s="141" t="s">
        <v>319</v>
      </c>
      <c r="FN27" s="141" t="s">
        <v>319</v>
      </c>
      <c r="FO27" s="141" t="s">
        <v>319</v>
      </c>
      <c r="FP27" s="141" t="s">
        <v>319</v>
      </c>
      <c r="FQ27" s="141" t="s">
        <v>319</v>
      </c>
      <c r="FR27" s="141" t="s">
        <v>319</v>
      </c>
      <c r="FS27" s="141" t="s">
        <v>319</v>
      </c>
      <c r="FT27" s="141" t="s">
        <v>319</v>
      </c>
    </row>
    <row r="28" spans="1:176" x14ac:dyDescent="0.3">
      <c r="B28" s="25" t="s">
        <v>320</v>
      </c>
      <c r="C28" s="25" t="s">
        <v>320</v>
      </c>
      <c r="D28" s="25" t="s">
        <v>320</v>
      </c>
      <c r="E28" s="144" t="s">
        <v>320</v>
      </c>
      <c r="F28" s="144" t="s">
        <v>320</v>
      </c>
      <c r="G28" s="144" t="s">
        <v>320</v>
      </c>
      <c r="H28" s="144" t="s">
        <v>320</v>
      </c>
      <c r="I28" s="144" t="s">
        <v>320</v>
      </c>
      <c r="J28" s="144" t="s">
        <v>320</v>
      </c>
      <c r="K28" s="144" t="s">
        <v>320</v>
      </c>
      <c r="L28" s="144" t="s">
        <v>320</v>
      </c>
      <c r="M28" s="144" t="s">
        <v>320</v>
      </c>
      <c r="N28" s="144" t="s">
        <v>320</v>
      </c>
      <c r="O28" s="144" t="s">
        <v>320</v>
      </c>
      <c r="P28" s="144" t="s">
        <v>320</v>
      </c>
      <c r="Q28" s="144" t="s">
        <v>320</v>
      </c>
      <c r="R28" s="144" t="s">
        <v>320</v>
      </c>
      <c r="S28" s="144" t="s">
        <v>320</v>
      </c>
      <c r="T28" s="144" t="s">
        <v>320</v>
      </c>
      <c r="U28" s="144" t="s">
        <v>320</v>
      </c>
      <c r="V28" s="144" t="s">
        <v>320</v>
      </c>
      <c r="W28" s="144" t="s">
        <v>320</v>
      </c>
      <c r="X28" s="144" t="s">
        <v>320</v>
      </c>
      <c r="Y28" s="144" t="s">
        <v>320</v>
      </c>
      <c r="Z28" s="144" t="s">
        <v>320</v>
      </c>
      <c r="AA28" s="144" t="s">
        <v>320</v>
      </c>
      <c r="AB28" s="144" t="s">
        <v>320</v>
      </c>
      <c r="AC28" s="144" t="s">
        <v>320</v>
      </c>
      <c r="AD28" s="144" t="s">
        <v>320</v>
      </c>
      <c r="AE28" s="144" t="s">
        <v>320</v>
      </c>
      <c r="AF28" s="144" t="s">
        <v>320</v>
      </c>
      <c r="AG28" s="144" t="s">
        <v>320</v>
      </c>
      <c r="AH28" s="144" t="s">
        <v>320</v>
      </c>
      <c r="AI28" s="144" t="s">
        <v>320</v>
      </c>
      <c r="AJ28" s="144" t="s">
        <v>320</v>
      </c>
      <c r="AK28" s="144" t="s">
        <v>320</v>
      </c>
      <c r="AL28" s="144" t="s">
        <v>320</v>
      </c>
      <c r="AM28" s="144" t="s">
        <v>320</v>
      </c>
      <c r="AN28" s="144" t="s">
        <v>320</v>
      </c>
      <c r="AO28" s="144" t="s">
        <v>320</v>
      </c>
      <c r="AP28" s="144" t="s">
        <v>320</v>
      </c>
      <c r="AQ28" s="144" t="s">
        <v>320</v>
      </c>
      <c r="AR28" s="144" t="s">
        <v>320</v>
      </c>
      <c r="AS28" s="144" t="s">
        <v>320</v>
      </c>
      <c r="AT28" s="144" t="s">
        <v>320</v>
      </c>
      <c r="AU28" s="144" t="s">
        <v>320</v>
      </c>
      <c r="AV28" s="144" t="s">
        <v>320</v>
      </c>
      <c r="AW28" s="144" t="s">
        <v>320</v>
      </c>
      <c r="AX28" s="144" t="s">
        <v>320</v>
      </c>
      <c r="AY28" s="144" t="s">
        <v>320</v>
      </c>
      <c r="AZ28" s="144" t="s">
        <v>320</v>
      </c>
      <c r="BA28" s="144" t="s">
        <v>320</v>
      </c>
      <c r="BB28" s="144" t="s">
        <v>320</v>
      </c>
      <c r="BC28" s="144" t="s">
        <v>320</v>
      </c>
      <c r="BD28" s="144" t="s">
        <v>320</v>
      </c>
      <c r="BE28" s="144" t="s">
        <v>320</v>
      </c>
      <c r="BF28" s="144" t="s">
        <v>320</v>
      </c>
      <c r="BG28" s="144" t="s">
        <v>320</v>
      </c>
      <c r="BH28" s="144" t="s">
        <v>320</v>
      </c>
      <c r="BI28" s="144" t="s">
        <v>320</v>
      </c>
      <c r="BJ28" s="144" t="s">
        <v>320</v>
      </c>
      <c r="BK28" s="144" t="s">
        <v>320</v>
      </c>
      <c r="BL28" s="144" t="s">
        <v>320</v>
      </c>
      <c r="BM28" s="144" t="s">
        <v>320</v>
      </c>
      <c r="BN28" s="144" t="s">
        <v>320</v>
      </c>
      <c r="BO28" s="144" t="s">
        <v>320</v>
      </c>
      <c r="BP28" s="144" t="s">
        <v>320</v>
      </c>
      <c r="BQ28" s="144" t="s">
        <v>320</v>
      </c>
      <c r="BR28" s="144" t="s">
        <v>320</v>
      </c>
      <c r="BS28" s="144" t="s">
        <v>320</v>
      </c>
      <c r="BT28" s="144" t="s">
        <v>320</v>
      </c>
      <c r="BU28" s="144" t="s">
        <v>320</v>
      </c>
      <c r="BV28" s="144" t="s">
        <v>320</v>
      </c>
      <c r="BW28" s="144" t="s">
        <v>320</v>
      </c>
      <c r="BX28" s="144" t="s">
        <v>320</v>
      </c>
      <c r="BY28" s="144" t="s">
        <v>320</v>
      </c>
      <c r="BZ28" s="144" t="s">
        <v>320</v>
      </c>
      <c r="CA28" s="144" t="s">
        <v>320</v>
      </c>
      <c r="CB28" s="144" t="s">
        <v>320</v>
      </c>
      <c r="CC28" s="144" t="s">
        <v>320</v>
      </c>
      <c r="CD28" s="144" t="s">
        <v>320</v>
      </c>
      <c r="CE28" s="144" t="s">
        <v>320</v>
      </c>
      <c r="CF28" s="144" t="s">
        <v>320</v>
      </c>
      <c r="CG28" s="144" t="s">
        <v>320</v>
      </c>
      <c r="CH28" s="144" t="s">
        <v>320</v>
      </c>
      <c r="CI28" s="144" t="s">
        <v>320</v>
      </c>
      <c r="CJ28" s="144" t="s">
        <v>320</v>
      </c>
      <c r="CK28" s="144" t="s">
        <v>320</v>
      </c>
      <c r="CL28" s="144" t="s">
        <v>320</v>
      </c>
      <c r="CM28" s="144" t="s">
        <v>320</v>
      </c>
      <c r="CN28" s="144" t="s">
        <v>320</v>
      </c>
      <c r="CO28" s="144" t="s">
        <v>320</v>
      </c>
      <c r="CP28" s="144" t="s">
        <v>320</v>
      </c>
      <c r="CQ28" s="144" t="s">
        <v>320</v>
      </c>
      <c r="CR28" s="144" t="s">
        <v>320</v>
      </c>
      <c r="CS28" s="144" t="s">
        <v>320</v>
      </c>
      <c r="CT28" s="144" t="s">
        <v>320</v>
      </c>
      <c r="CU28" s="144" t="s">
        <v>320</v>
      </c>
      <c r="CV28" s="144" t="s">
        <v>320</v>
      </c>
      <c r="CW28" s="144" t="s">
        <v>320</v>
      </c>
      <c r="CX28" s="144" t="s">
        <v>320</v>
      </c>
      <c r="CY28" s="144" t="s">
        <v>320</v>
      </c>
      <c r="CZ28" s="144" t="s">
        <v>320</v>
      </c>
      <c r="DA28" s="144" t="s">
        <v>320</v>
      </c>
      <c r="DB28" s="144" t="s">
        <v>320</v>
      </c>
      <c r="DC28" s="144" t="s">
        <v>320</v>
      </c>
      <c r="DD28" s="144" t="s">
        <v>320</v>
      </c>
      <c r="DE28" s="144" t="s">
        <v>320</v>
      </c>
      <c r="DF28" s="144" t="s">
        <v>320</v>
      </c>
      <c r="DG28" s="144" t="s">
        <v>320</v>
      </c>
      <c r="DH28" s="144" t="s">
        <v>320</v>
      </c>
      <c r="DI28" s="144" t="s">
        <v>320</v>
      </c>
      <c r="DJ28" s="144" t="s">
        <v>320</v>
      </c>
      <c r="DK28" s="144" t="s">
        <v>320</v>
      </c>
      <c r="DL28" s="144" t="s">
        <v>320</v>
      </c>
      <c r="DM28" s="144" t="s">
        <v>320</v>
      </c>
      <c r="DN28" s="144" t="s">
        <v>320</v>
      </c>
      <c r="DO28" s="144" t="s">
        <v>320</v>
      </c>
      <c r="DP28" s="144" t="s">
        <v>320</v>
      </c>
      <c r="DQ28" s="144" t="s">
        <v>320</v>
      </c>
      <c r="DR28" s="144" t="s">
        <v>320</v>
      </c>
      <c r="DS28" s="144" t="s">
        <v>320</v>
      </c>
      <c r="DT28" s="144" t="s">
        <v>320</v>
      </c>
      <c r="DU28" s="144" t="s">
        <v>320</v>
      </c>
      <c r="DV28" s="144" t="s">
        <v>320</v>
      </c>
      <c r="DW28" s="144" t="s">
        <v>320</v>
      </c>
      <c r="DX28" s="144" t="s">
        <v>320</v>
      </c>
      <c r="DY28" s="144" t="s">
        <v>320</v>
      </c>
      <c r="DZ28" s="144" t="s">
        <v>320</v>
      </c>
      <c r="EA28" s="144" t="s">
        <v>320</v>
      </c>
      <c r="EB28" s="144" t="s">
        <v>320</v>
      </c>
      <c r="EC28" s="144" t="s">
        <v>320</v>
      </c>
      <c r="ED28" s="144" t="s">
        <v>320</v>
      </c>
      <c r="EE28" s="144" t="s">
        <v>320</v>
      </c>
      <c r="EF28" s="144" t="s">
        <v>320</v>
      </c>
      <c r="EG28" s="144" t="s">
        <v>320</v>
      </c>
      <c r="EH28" s="144" t="s">
        <v>320</v>
      </c>
      <c r="EI28" s="144" t="s">
        <v>320</v>
      </c>
      <c r="EJ28" s="144" t="s">
        <v>320</v>
      </c>
      <c r="EK28" s="144" t="s">
        <v>320</v>
      </c>
      <c r="EL28" s="144" t="s">
        <v>320</v>
      </c>
      <c r="EM28" s="144" t="s">
        <v>320</v>
      </c>
      <c r="EN28" s="144" t="s">
        <v>320</v>
      </c>
      <c r="EO28" s="144" t="s">
        <v>320</v>
      </c>
      <c r="EP28" s="144" t="s">
        <v>320</v>
      </c>
      <c r="EQ28" s="144" t="s">
        <v>320</v>
      </c>
      <c r="ER28" s="144" t="s">
        <v>320</v>
      </c>
      <c r="ES28" s="144" t="s">
        <v>320</v>
      </c>
      <c r="ET28" s="144" t="s">
        <v>320</v>
      </c>
      <c r="EU28" s="144" t="s">
        <v>320</v>
      </c>
      <c r="EV28" s="144" t="s">
        <v>320</v>
      </c>
      <c r="EW28" s="144" t="s">
        <v>320</v>
      </c>
      <c r="EX28" s="144" t="s">
        <v>320</v>
      </c>
      <c r="EY28" s="144" t="s">
        <v>320</v>
      </c>
      <c r="EZ28" s="144" t="s">
        <v>320</v>
      </c>
      <c r="FA28" s="144" t="s">
        <v>320</v>
      </c>
      <c r="FB28" s="144" t="s">
        <v>320</v>
      </c>
      <c r="FC28" s="144" t="s">
        <v>320</v>
      </c>
      <c r="FD28" s="144" t="s">
        <v>320</v>
      </c>
      <c r="FE28" s="144" t="s">
        <v>320</v>
      </c>
      <c r="FF28" s="144" t="s">
        <v>320</v>
      </c>
      <c r="FG28" s="144" t="s">
        <v>320</v>
      </c>
      <c r="FH28" s="144" t="s">
        <v>320</v>
      </c>
      <c r="FI28" s="144" t="s">
        <v>320</v>
      </c>
      <c r="FJ28" s="144" t="s">
        <v>320</v>
      </c>
      <c r="FK28" s="144" t="s">
        <v>320</v>
      </c>
      <c r="FL28" s="144" t="s">
        <v>320</v>
      </c>
      <c r="FM28" s="144" t="s">
        <v>320</v>
      </c>
      <c r="FN28" s="144" t="s">
        <v>320</v>
      </c>
      <c r="FO28" s="144" t="s">
        <v>320</v>
      </c>
      <c r="FP28" s="144" t="s">
        <v>320</v>
      </c>
      <c r="FQ28" s="144" t="s">
        <v>320</v>
      </c>
      <c r="FR28" s="144" t="s">
        <v>320</v>
      </c>
      <c r="FS28" s="144" t="s">
        <v>320</v>
      </c>
      <c r="FT28" s="144" t="s">
        <v>320</v>
      </c>
    </row>
    <row r="29" spans="1:176" x14ac:dyDescent="0.3">
      <c r="B29" s="25" t="s">
        <v>321</v>
      </c>
      <c r="C29" s="25" t="s">
        <v>321</v>
      </c>
      <c r="D29" s="25" t="s">
        <v>321</v>
      </c>
      <c r="E29" s="144" t="s">
        <v>321</v>
      </c>
      <c r="F29" s="144" t="s">
        <v>321</v>
      </c>
      <c r="G29" s="144" t="s">
        <v>321</v>
      </c>
      <c r="H29" s="144" t="s">
        <v>321</v>
      </c>
      <c r="I29" s="144" t="s">
        <v>321</v>
      </c>
      <c r="J29" s="144" t="s">
        <v>321</v>
      </c>
      <c r="K29" s="144" t="s">
        <v>321</v>
      </c>
      <c r="L29" s="144" t="s">
        <v>321</v>
      </c>
      <c r="M29" s="144" t="s">
        <v>321</v>
      </c>
      <c r="N29" s="144" t="s">
        <v>321</v>
      </c>
      <c r="O29" s="144" t="s">
        <v>321</v>
      </c>
      <c r="P29" s="144" t="s">
        <v>321</v>
      </c>
      <c r="Q29" s="144" t="s">
        <v>321</v>
      </c>
      <c r="R29" s="144" t="s">
        <v>321</v>
      </c>
      <c r="S29" s="144" t="s">
        <v>321</v>
      </c>
      <c r="T29" s="144" t="s">
        <v>321</v>
      </c>
      <c r="U29" s="144" t="s">
        <v>321</v>
      </c>
      <c r="V29" s="144" t="s">
        <v>321</v>
      </c>
      <c r="W29" s="144" t="s">
        <v>321</v>
      </c>
      <c r="X29" s="144" t="s">
        <v>321</v>
      </c>
      <c r="Y29" s="144" t="s">
        <v>321</v>
      </c>
      <c r="Z29" s="144" t="s">
        <v>321</v>
      </c>
      <c r="AA29" s="144" t="s">
        <v>321</v>
      </c>
      <c r="AB29" s="144" t="s">
        <v>321</v>
      </c>
      <c r="AC29" s="144" t="s">
        <v>321</v>
      </c>
      <c r="AD29" s="144" t="s">
        <v>321</v>
      </c>
      <c r="AE29" s="144" t="s">
        <v>321</v>
      </c>
      <c r="AF29" s="144" t="s">
        <v>321</v>
      </c>
      <c r="AG29" s="144" t="s">
        <v>321</v>
      </c>
      <c r="AH29" s="144" t="s">
        <v>321</v>
      </c>
      <c r="AI29" s="144" t="s">
        <v>321</v>
      </c>
      <c r="AJ29" s="144" t="s">
        <v>321</v>
      </c>
      <c r="AK29" s="144" t="s">
        <v>321</v>
      </c>
      <c r="AL29" s="144" t="s">
        <v>321</v>
      </c>
      <c r="AM29" s="144" t="s">
        <v>321</v>
      </c>
      <c r="AN29" s="144" t="s">
        <v>321</v>
      </c>
      <c r="AO29" s="144" t="s">
        <v>321</v>
      </c>
      <c r="AP29" s="144" t="s">
        <v>321</v>
      </c>
      <c r="AQ29" s="144" t="s">
        <v>321</v>
      </c>
      <c r="AR29" s="144" t="s">
        <v>321</v>
      </c>
      <c r="AS29" s="144" t="s">
        <v>321</v>
      </c>
      <c r="AT29" s="144" t="s">
        <v>321</v>
      </c>
      <c r="AU29" s="144" t="s">
        <v>321</v>
      </c>
      <c r="AV29" s="144" t="s">
        <v>321</v>
      </c>
      <c r="AW29" s="144" t="s">
        <v>321</v>
      </c>
      <c r="AX29" s="144" t="s">
        <v>321</v>
      </c>
      <c r="AY29" s="144" t="s">
        <v>321</v>
      </c>
      <c r="AZ29" s="144" t="s">
        <v>321</v>
      </c>
      <c r="BA29" s="144" t="s">
        <v>321</v>
      </c>
      <c r="BB29" s="144" t="s">
        <v>321</v>
      </c>
      <c r="BC29" s="144" t="s">
        <v>321</v>
      </c>
      <c r="BD29" s="144" t="s">
        <v>321</v>
      </c>
      <c r="BE29" s="144" t="s">
        <v>321</v>
      </c>
      <c r="BF29" s="144" t="s">
        <v>321</v>
      </c>
      <c r="BG29" s="144" t="s">
        <v>321</v>
      </c>
      <c r="BH29" s="144" t="s">
        <v>321</v>
      </c>
      <c r="BI29" s="144" t="s">
        <v>321</v>
      </c>
      <c r="BJ29" s="144" t="s">
        <v>321</v>
      </c>
      <c r="BK29" s="144" t="s">
        <v>321</v>
      </c>
      <c r="BL29" s="144" t="s">
        <v>321</v>
      </c>
      <c r="BM29" s="144" t="s">
        <v>321</v>
      </c>
      <c r="BN29" s="144" t="s">
        <v>321</v>
      </c>
      <c r="BO29" s="144" t="s">
        <v>321</v>
      </c>
      <c r="BP29" s="144" t="s">
        <v>321</v>
      </c>
      <c r="BQ29" s="144" t="s">
        <v>321</v>
      </c>
      <c r="BR29" s="144" t="s">
        <v>321</v>
      </c>
      <c r="BS29" s="144" t="s">
        <v>321</v>
      </c>
      <c r="BT29" s="144" t="s">
        <v>321</v>
      </c>
      <c r="BU29" s="144" t="s">
        <v>321</v>
      </c>
      <c r="BV29" s="144" t="s">
        <v>321</v>
      </c>
      <c r="BW29" s="144" t="s">
        <v>321</v>
      </c>
      <c r="BX29" s="144" t="s">
        <v>321</v>
      </c>
      <c r="BY29" s="144" t="s">
        <v>321</v>
      </c>
      <c r="BZ29" s="144" t="s">
        <v>321</v>
      </c>
      <c r="CA29" s="144" t="s">
        <v>321</v>
      </c>
      <c r="CB29" s="144" t="s">
        <v>321</v>
      </c>
      <c r="CC29" s="144" t="s">
        <v>321</v>
      </c>
      <c r="CD29" s="144" t="s">
        <v>321</v>
      </c>
      <c r="CE29" s="144" t="s">
        <v>321</v>
      </c>
      <c r="CF29" s="144" t="s">
        <v>321</v>
      </c>
      <c r="CG29" s="144" t="s">
        <v>321</v>
      </c>
      <c r="CH29" s="144" t="s">
        <v>321</v>
      </c>
      <c r="CI29" s="144" t="s">
        <v>321</v>
      </c>
      <c r="CJ29" s="144" t="s">
        <v>321</v>
      </c>
      <c r="CK29" s="144" t="s">
        <v>321</v>
      </c>
      <c r="CL29" s="144" t="s">
        <v>321</v>
      </c>
      <c r="CM29" s="144" t="s">
        <v>321</v>
      </c>
      <c r="CN29" s="144" t="s">
        <v>321</v>
      </c>
      <c r="CO29" s="144" t="s">
        <v>321</v>
      </c>
      <c r="CP29" s="144" t="s">
        <v>321</v>
      </c>
      <c r="CQ29" s="144" t="s">
        <v>321</v>
      </c>
      <c r="CR29" s="144" t="s">
        <v>321</v>
      </c>
      <c r="CS29" s="144" t="s">
        <v>321</v>
      </c>
      <c r="CT29" s="144" t="s">
        <v>321</v>
      </c>
      <c r="CU29" s="144" t="s">
        <v>321</v>
      </c>
      <c r="CV29" s="144" t="s">
        <v>321</v>
      </c>
      <c r="CW29" s="144" t="s">
        <v>321</v>
      </c>
      <c r="CX29" s="144" t="s">
        <v>321</v>
      </c>
      <c r="CY29" s="144" t="s">
        <v>321</v>
      </c>
      <c r="CZ29" s="144" t="s">
        <v>321</v>
      </c>
      <c r="DA29" s="144" t="s">
        <v>321</v>
      </c>
      <c r="DB29" s="144" t="s">
        <v>321</v>
      </c>
      <c r="DC29" s="144" t="s">
        <v>321</v>
      </c>
      <c r="DD29" s="144" t="s">
        <v>321</v>
      </c>
      <c r="DE29" s="144" t="s">
        <v>321</v>
      </c>
      <c r="DF29" s="144" t="s">
        <v>321</v>
      </c>
      <c r="DG29" s="144" t="s">
        <v>321</v>
      </c>
      <c r="DH29" s="144" t="s">
        <v>321</v>
      </c>
      <c r="DI29" s="144" t="s">
        <v>321</v>
      </c>
      <c r="DJ29" s="144" t="s">
        <v>321</v>
      </c>
      <c r="DK29" s="144" t="s">
        <v>321</v>
      </c>
      <c r="DL29" s="144" t="s">
        <v>321</v>
      </c>
      <c r="DM29" s="144" t="s">
        <v>321</v>
      </c>
      <c r="DN29" s="144" t="s">
        <v>321</v>
      </c>
      <c r="DO29" s="144" t="s">
        <v>321</v>
      </c>
      <c r="DP29" s="144" t="s">
        <v>321</v>
      </c>
      <c r="DQ29" s="144" t="s">
        <v>321</v>
      </c>
      <c r="DR29" s="144" t="s">
        <v>321</v>
      </c>
      <c r="DS29" s="144" t="s">
        <v>321</v>
      </c>
      <c r="DT29" s="144" t="s">
        <v>321</v>
      </c>
      <c r="DU29" s="144" t="s">
        <v>321</v>
      </c>
      <c r="DV29" s="144" t="s">
        <v>321</v>
      </c>
      <c r="DW29" s="144" t="s">
        <v>321</v>
      </c>
      <c r="DX29" s="144" t="s">
        <v>321</v>
      </c>
      <c r="DY29" s="144" t="s">
        <v>321</v>
      </c>
      <c r="DZ29" s="144" t="s">
        <v>321</v>
      </c>
      <c r="EA29" s="144" t="s">
        <v>321</v>
      </c>
      <c r="EB29" s="144" t="s">
        <v>321</v>
      </c>
      <c r="EC29" s="144" t="s">
        <v>321</v>
      </c>
      <c r="ED29" s="144" t="s">
        <v>321</v>
      </c>
      <c r="EE29" s="144" t="s">
        <v>321</v>
      </c>
      <c r="EF29" s="144" t="s">
        <v>321</v>
      </c>
      <c r="EG29" s="144" t="s">
        <v>321</v>
      </c>
      <c r="EH29" s="144" t="s">
        <v>321</v>
      </c>
      <c r="EI29" s="144" t="s">
        <v>321</v>
      </c>
      <c r="EJ29" s="144" t="s">
        <v>321</v>
      </c>
      <c r="EK29" s="144" t="s">
        <v>321</v>
      </c>
      <c r="EL29" s="144" t="s">
        <v>321</v>
      </c>
      <c r="EM29" s="144" t="s">
        <v>321</v>
      </c>
      <c r="EN29" s="144" t="s">
        <v>321</v>
      </c>
      <c r="EO29" s="144" t="s">
        <v>321</v>
      </c>
      <c r="EP29" s="144" t="s">
        <v>321</v>
      </c>
      <c r="EQ29" s="144" t="s">
        <v>321</v>
      </c>
      <c r="ER29" s="144" t="s">
        <v>321</v>
      </c>
      <c r="ES29" s="144" t="s">
        <v>321</v>
      </c>
      <c r="ET29" s="144" t="s">
        <v>321</v>
      </c>
      <c r="EU29" s="144" t="s">
        <v>321</v>
      </c>
      <c r="EV29" s="144" t="s">
        <v>321</v>
      </c>
      <c r="EW29" s="144" t="s">
        <v>321</v>
      </c>
      <c r="EX29" s="144" t="s">
        <v>321</v>
      </c>
      <c r="EY29" s="144" t="s">
        <v>321</v>
      </c>
      <c r="EZ29" s="144" t="s">
        <v>321</v>
      </c>
      <c r="FA29" s="144" t="s">
        <v>321</v>
      </c>
      <c r="FB29" s="144" t="s">
        <v>321</v>
      </c>
      <c r="FC29" s="144" t="s">
        <v>321</v>
      </c>
      <c r="FD29" s="144" t="s">
        <v>321</v>
      </c>
      <c r="FE29" s="144" t="s">
        <v>321</v>
      </c>
      <c r="FF29" s="144" t="s">
        <v>321</v>
      </c>
      <c r="FG29" s="144" t="s">
        <v>321</v>
      </c>
      <c r="FH29" s="144" t="s">
        <v>321</v>
      </c>
      <c r="FI29" s="144" t="s">
        <v>321</v>
      </c>
      <c r="FJ29" s="144" t="s">
        <v>321</v>
      </c>
      <c r="FK29" s="144" t="s">
        <v>321</v>
      </c>
      <c r="FL29" s="144" t="s">
        <v>321</v>
      </c>
      <c r="FM29" s="144" t="s">
        <v>321</v>
      </c>
      <c r="FN29" s="144" t="s">
        <v>321</v>
      </c>
      <c r="FO29" s="144" t="s">
        <v>321</v>
      </c>
      <c r="FP29" s="144" t="s">
        <v>321</v>
      </c>
      <c r="FQ29" s="144" t="s">
        <v>321</v>
      </c>
      <c r="FR29" s="144" t="s">
        <v>321</v>
      </c>
      <c r="FS29" s="144" t="s">
        <v>321</v>
      </c>
      <c r="FT29" s="144" t="s">
        <v>321</v>
      </c>
    </row>
    <row r="30" spans="1:176" x14ac:dyDescent="0.3">
      <c r="B30" s="3" t="s">
        <v>322</v>
      </c>
      <c r="C30" s="3" t="s">
        <v>385</v>
      </c>
      <c r="D30" s="3" t="s">
        <v>385</v>
      </c>
      <c r="E30" s="141" t="s">
        <v>322</v>
      </c>
      <c r="F30" s="141" t="s">
        <v>322</v>
      </c>
      <c r="G30" s="141" t="s">
        <v>322</v>
      </c>
      <c r="H30" s="141" t="s">
        <v>322</v>
      </c>
      <c r="I30" s="141" t="s">
        <v>322</v>
      </c>
      <c r="J30" s="141" t="s">
        <v>322</v>
      </c>
      <c r="K30" s="141" t="s">
        <v>322</v>
      </c>
      <c r="L30" s="141" t="s">
        <v>322</v>
      </c>
      <c r="M30" s="141" t="s">
        <v>322</v>
      </c>
      <c r="N30" s="141" t="s">
        <v>322</v>
      </c>
      <c r="O30" s="141" t="s">
        <v>322</v>
      </c>
      <c r="P30" s="141" t="s">
        <v>322</v>
      </c>
      <c r="Q30" s="141" t="s">
        <v>322</v>
      </c>
      <c r="R30" s="141" t="s">
        <v>322</v>
      </c>
      <c r="S30" s="141" t="s">
        <v>322</v>
      </c>
      <c r="T30" s="141" t="s">
        <v>322</v>
      </c>
      <c r="U30" s="141" t="s">
        <v>322</v>
      </c>
      <c r="V30" s="141" t="s">
        <v>322</v>
      </c>
      <c r="W30" s="141" t="s">
        <v>322</v>
      </c>
      <c r="X30" s="141" t="s">
        <v>322</v>
      </c>
      <c r="Y30" s="141" t="s">
        <v>322</v>
      </c>
      <c r="Z30" s="141" t="s">
        <v>322</v>
      </c>
      <c r="AA30" s="141" t="s">
        <v>322</v>
      </c>
      <c r="AB30" s="141" t="s">
        <v>322</v>
      </c>
      <c r="AC30" s="141" t="s">
        <v>322</v>
      </c>
      <c r="AD30" s="141" t="s">
        <v>322</v>
      </c>
      <c r="AE30" s="141" t="s">
        <v>322</v>
      </c>
      <c r="AF30" s="141" t="s">
        <v>322</v>
      </c>
      <c r="AG30" s="141" t="s">
        <v>322</v>
      </c>
      <c r="AH30" s="141" t="s">
        <v>322</v>
      </c>
      <c r="AI30" s="141" t="s">
        <v>322</v>
      </c>
      <c r="AJ30" s="141" t="s">
        <v>322</v>
      </c>
      <c r="AK30" s="141" t="s">
        <v>322</v>
      </c>
      <c r="AL30" s="141" t="s">
        <v>322</v>
      </c>
      <c r="AM30" s="141" t="s">
        <v>322</v>
      </c>
      <c r="AN30" s="141" t="s">
        <v>322</v>
      </c>
      <c r="AO30" s="141" t="s">
        <v>322</v>
      </c>
      <c r="AP30" s="141" t="s">
        <v>322</v>
      </c>
      <c r="AQ30" s="141" t="s">
        <v>322</v>
      </c>
      <c r="AR30" s="141" t="s">
        <v>322</v>
      </c>
      <c r="AS30" s="141" t="s">
        <v>322</v>
      </c>
      <c r="AT30" s="141" t="s">
        <v>322</v>
      </c>
      <c r="AU30" s="141" t="s">
        <v>322</v>
      </c>
      <c r="AV30" s="141" t="s">
        <v>322</v>
      </c>
      <c r="AW30" s="141" t="s">
        <v>322</v>
      </c>
      <c r="AX30" s="141" t="s">
        <v>322</v>
      </c>
      <c r="AY30" s="141" t="s">
        <v>322</v>
      </c>
      <c r="AZ30" s="141" t="s">
        <v>322</v>
      </c>
      <c r="BA30" s="141" t="s">
        <v>322</v>
      </c>
      <c r="BB30" s="141" t="s">
        <v>322</v>
      </c>
      <c r="BC30" s="141" t="s">
        <v>322</v>
      </c>
      <c r="BD30" s="141" t="s">
        <v>322</v>
      </c>
      <c r="BE30" s="141" t="s">
        <v>322</v>
      </c>
      <c r="BF30" s="141" t="s">
        <v>322</v>
      </c>
      <c r="BG30" s="141" t="s">
        <v>322</v>
      </c>
      <c r="BH30" s="141" t="s">
        <v>322</v>
      </c>
      <c r="BI30" s="141" t="s">
        <v>322</v>
      </c>
      <c r="BJ30" s="141" t="s">
        <v>322</v>
      </c>
      <c r="BK30" s="141" t="s">
        <v>322</v>
      </c>
      <c r="BL30" s="141" t="s">
        <v>322</v>
      </c>
      <c r="BM30" s="141" t="s">
        <v>322</v>
      </c>
      <c r="BN30" s="141" t="s">
        <v>322</v>
      </c>
      <c r="BO30" s="141" t="s">
        <v>322</v>
      </c>
      <c r="BP30" s="141" t="s">
        <v>322</v>
      </c>
      <c r="BQ30" s="141" t="s">
        <v>322</v>
      </c>
      <c r="BR30" s="141" t="s">
        <v>322</v>
      </c>
      <c r="BS30" s="141" t="s">
        <v>322</v>
      </c>
      <c r="BT30" s="141" t="s">
        <v>322</v>
      </c>
      <c r="BU30" s="141" t="s">
        <v>322</v>
      </c>
      <c r="BV30" s="141" t="s">
        <v>322</v>
      </c>
      <c r="BW30" s="141" t="s">
        <v>322</v>
      </c>
      <c r="BX30" s="141" t="s">
        <v>322</v>
      </c>
      <c r="BY30" s="141" t="s">
        <v>322</v>
      </c>
      <c r="BZ30" s="141" t="s">
        <v>322</v>
      </c>
      <c r="CA30" s="141" t="s">
        <v>322</v>
      </c>
      <c r="CB30" s="141" t="s">
        <v>322</v>
      </c>
      <c r="CC30" s="141" t="s">
        <v>322</v>
      </c>
      <c r="CD30" s="141" t="s">
        <v>322</v>
      </c>
      <c r="CE30" s="141" t="s">
        <v>322</v>
      </c>
      <c r="CF30" s="141" t="s">
        <v>322</v>
      </c>
      <c r="CG30" s="141" t="s">
        <v>322</v>
      </c>
      <c r="CH30" s="141" t="s">
        <v>322</v>
      </c>
      <c r="CI30" s="141" t="s">
        <v>322</v>
      </c>
      <c r="CJ30" s="141" t="s">
        <v>322</v>
      </c>
      <c r="CK30" s="141" t="s">
        <v>322</v>
      </c>
      <c r="CL30" s="141" t="s">
        <v>322</v>
      </c>
      <c r="CM30" s="141" t="s">
        <v>322</v>
      </c>
      <c r="CN30" s="141" t="s">
        <v>322</v>
      </c>
      <c r="CO30" s="141" t="s">
        <v>322</v>
      </c>
      <c r="CP30" s="141" t="s">
        <v>322</v>
      </c>
      <c r="CQ30" s="141" t="s">
        <v>322</v>
      </c>
      <c r="CR30" s="141" t="s">
        <v>322</v>
      </c>
      <c r="CS30" s="141" t="s">
        <v>322</v>
      </c>
      <c r="CT30" s="141" t="s">
        <v>322</v>
      </c>
      <c r="CU30" s="141" t="s">
        <v>322</v>
      </c>
      <c r="CV30" s="141" t="s">
        <v>322</v>
      </c>
      <c r="CW30" s="141" t="s">
        <v>322</v>
      </c>
      <c r="CX30" s="141" t="s">
        <v>322</v>
      </c>
      <c r="CY30" s="141" t="s">
        <v>322</v>
      </c>
      <c r="CZ30" s="141" t="s">
        <v>322</v>
      </c>
      <c r="DA30" s="141" t="s">
        <v>322</v>
      </c>
      <c r="DB30" s="141" t="s">
        <v>322</v>
      </c>
      <c r="DC30" s="141" t="s">
        <v>322</v>
      </c>
      <c r="DD30" s="141" t="s">
        <v>322</v>
      </c>
      <c r="DE30" s="141" t="s">
        <v>322</v>
      </c>
      <c r="DF30" s="141" t="s">
        <v>322</v>
      </c>
      <c r="DG30" s="141" t="s">
        <v>322</v>
      </c>
      <c r="DH30" s="141" t="s">
        <v>322</v>
      </c>
      <c r="DI30" s="141" t="s">
        <v>322</v>
      </c>
      <c r="DJ30" s="141" t="s">
        <v>322</v>
      </c>
      <c r="DK30" s="141" t="s">
        <v>322</v>
      </c>
      <c r="DL30" s="141" t="s">
        <v>322</v>
      </c>
      <c r="DM30" s="141" t="s">
        <v>322</v>
      </c>
      <c r="DN30" s="141" t="s">
        <v>322</v>
      </c>
      <c r="DO30" s="141" t="s">
        <v>322</v>
      </c>
      <c r="DP30" s="141" t="s">
        <v>322</v>
      </c>
      <c r="DQ30" s="141" t="s">
        <v>322</v>
      </c>
      <c r="DR30" s="141" t="s">
        <v>322</v>
      </c>
      <c r="DS30" s="141" t="s">
        <v>322</v>
      </c>
      <c r="DT30" s="141" t="s">
        <v>322</v>
      </c>
      <c r="DU30" s="141" t="s">
        <v>322</v>
      </c>
      <c r="DV30" s="141" t="s">
        <v>322</v>
      </c>
      <c r="DW30" s="141" t="s">
        <v>322</v>
      </c>
      <c r="DX30" s="141" t="s">
        <v>322</v>
      </c>
      <c r="DY30" s="141" t="s">
        <v>322</v>
      </c>
      <c r="DZ30" s="141" t="s">
        <v>322</v>
      </c>
      <c r="EA30" s="141" t="s">
        <v>322</v>
      </c>
      <c r="EB30" s="141" t="s">
        <v>322</v>
      </c>
      <c r="EC30" s="141" t="s">
        <v>322</v>
      </c>
      <c r="ED30" s="141" t="s">
        <v>322</v>
      </c>
      <c r="EE30" s="141" t="s">
        <v>322</v>
      </c>
      <c r="EF30" s="141" t="s">
        <v>322</v>
      </c>
      <c r="EG30" s="141" t="s">
        <v>322</v>
      </c>
      <c r="EH30" s="141" t="s">
        <v>322</v>
      </c>
      <c r="EI30" s="141" t="s">
        <v>322</v>
      </c>
      <c r="EJ30" s="141" t="s">
        <v>322</v>
      </c>
      <c r="EK30" s="141" t="s">
        <v>322</v>
      </c>
      <c r="EL30" s="141" t="s">
        <v>322</v>
      </c>
      <c r="EM30" s="141" t="s">
        <v>322</v>
      </c>
      <c r="EN30" s="141" t="s">
        <v>322</v>
      </c>
      <c r="EO30" s="141" t="s">
        <v>322</v>
      </c>
      <c r="EP30" s="141" t="s">
        <v>322</v>
      </c>
      <c r="EQ30" s="141" t="s">
        <v>322</v>
      </c>
      <c r="ER30" s="141" t="s">
        <v>322</v>
      </c>
      <c r="ES30" s="141" t="s">
        <v>322</v>
      </c>
      <c r="ET30" s="141" t="s">
        <v>322</v>
      </c>
      <c r="EU30" s="141" t="s">
        <v>322</v>
      </c>
      <c r="EV30" s="141" t="s">
        <v>322</v>
      </c>
      <c r="EW30" s="141" t="s">
        <v>322</v>
      </c>
      <c r="EX30" s="141" t="s">
        <v>322</v>
      </c>
      <c r="EY30" s="141" t="s">
        <v>322</v>
      </c>
      <c r="EZ30" s="141" t="s">
        <v>322</v>
      </c>
      <c r="FA30" s="141" t="s">
        <v>322</v>
      </c>
      <c r="FB30" s="141" t="s">
        <v>322</v>
      </c>
      <c r="FC30" s="141" t="s">
        <v>322</v>
      </c>
      <c r="FD30" s="141" t="s">
        <v>322</v>
      </c>
      <c r="FE30" s="141" t="s">
        <v>322</v>
      </c>
      <c r="FF30" s="141" t="s">
        <v>322</v>
      </c>
      <c r="FG30" s="141" t="s">
        <v>322</v>
      </c>
      <c r="FH30" s="141" t="s">
        <v>322</v>
      </c>
      <c r="FI30" s="141" t="s">
        <v>322</v>
      </c>
      <c r="FJ30" s="141" t="s">
        <v>322</v>
      </c>
      <c r="FK30" s="141" t="s">
        <v>322</v>
      </c>
      <c r="FL30" s="141" t="s">
        <v>322</v>
      </c>
      <c r="FM30" s="141" t="s">
        <v>322</v>
      </c>
      <c r="FN30" s="141" t="s">
        <v>322</v>
      </c>
      <c r="FO30" s="141" t="s">
        <v>322</v>
      </c>
      <c r="FP30" s="141" t="s">
        <v>322</v>
      </c>
      <c r="FQ30" s="141" t="s">
        <v>322</v>
      </c>
      <c r="FR30" s="141" t="s">
        <v>322</v>
      </c>
      <c r="FS30" s="141" t="s">
        <v>322</v>
      </c>
      <c r="FT30" s="141" t="s">
        <v>322</v>
      </c>
    </row>
    <row r="31" spans="1:176" x14ac:dyDescent="0.3">
      <c r="B31" s="25" t="s">
        <v>320</v>
      </c>
      <c r="C31" s="25" t="s">
        <v>320</v>
      </c>
      <c r="D31" s="25" t="s">
        <v>320</v>
      </c>
      <c r="E31" s="144" t="s">
        <v>320</v>
      </c>
      <c r="F31" s="144" t="s">
        <v>320</v>
      </c>
      <c r="G31" s="144" t="s">
        <v>320</v>
      </c>
      <c r="H31" s="144" t="s">
        <v>320</v>
      </c>
      <c r="I31" s="144" t="s">
        <v>320</v>
      </c>
      <c r="J31" s="144" t="s">
        <v>320</v>
      </c>
      <c r="K31" s="144" t="s">
        <v>320</v>
      </c>
      <c r="L31" s="144" t="s">
        <v>320</v>
      </c>
      <c r="M31" s="144" t="s">
        <v>320</v>
      </c>
      <c r="N31" s="144" t="s">
        <v>320</v>
      </c>
      <c r="O31" s="144" t="s">
        <v>320</v>
      </c>
      <c r="P31" s="144" t="s">
        <v>320</v>
      </c>
      <c r="Q31" s="144" t="s">
        <v>320</v>
      </c>
      <c r="R31" s="144" t="s">
        <v>320</v>
      </c>
      <c r="S31" s="144" t="s">
        <v>320</v>
      </c>
      <c r="T31" s="144" t="s">
        <v>320</v>
      </c>
      <c r="U31" s="144" t="s">
        <v>320</v>
      </c>
      <c r="V31" s="144" t="s">
        <v>320</v>
      </c>
      <c r="W31" s="144" t="s">
        <v>320</v>
      </c>
      <c r="X31" s="144" t="s">
        <v>320</v>
      </c>
      <c r="Y31" s="144" t="s">
        <v>320</v>
      </c>
      <c r="Z31" s="144" t="s">
        <v>320</v>
      </c>
      <c r="AA31" s="144" t="s">
        <v>320</v>
      </c>
      <c r="AB31" s="144" t="s">
        <v>320</v>
      </c>
      <c r="AC31" s="144" t="s">
        <v>320</v>
      </c>
      <c r="AD31" s="144" t="s">
        <v>320</v>
      </c>
      <c r="AE31" s="144" t="s">
        <v>320</v>
      </c>
      <c r="AF31" s="144" t="s">
        <v>320</v>
      </c>
      <c r="AG31" s="144" t="s">
        <v>320</v>
      </c>
      <c r="AH31" s="144" t="s">
        <v>320</v>
      </c>
      <c r="AI31" s="144" t="s">
        <v>320</v>
      </c>
      <c r="AJ31" s="144" t="s">
        <v>320</v>
      </c>
      <c r="AK31" s="144" t="s">
        <v>320</v>
      </c>
      <c r="AL31" s="144" t="s">
        <v>320</v>
      </c>
      <c r="AM31" s="144" t="s">
        <v>320</v>
      </c>
      <c r="AN31" s="144" t="s">
        <v>320</v>
      </c>
      <c r="AO31" s="144" t="s">
        <v>320</v>
      </c>
      <c r="AP31" s="144" t="s">
        <v>320</v>
      </c>
      <c r="AQ31" s="144" t="s">
        <v>320</v>
      </c>
      <c r="AR31" s="144" t="s">
        <v>320</v>
      </c>
      <c r="AS31" s="144" t="s">
        <v>320</v>
      </c>
      <c r="AT31" s="144" t="s">
        <v>320</v>
      </c>
      <c r="AU31" s="144" t="s">
        <v>320</v>
      </c>
      <c r="AV31" s="144" t="s">
        <v>320</v>
      </c>
      <c r="AW31" s="144" t="s">
        <v>320</v>
      </c>
      <c r="AX31" s="144" t="s">
        <v>320</v>
      </c>
      <c r="AY31" s="144" t="s">
        <v>320</v>
      </c>
      <c r="AZ31" s="144" t="s">
        <v>320</v>
      </c>
      <c r="BA31" s="144" t="s">
        <v>320</v>
      </c>
      <c r="BB31" s="144" t="s">
        <v>320</v>
      </c>
      <c r="BC31" s="144" t="s">
        <v>320</v>
      </c>
      <c r="BD31" s="144" t="s">
        <v>320</v>
      </c>
      <c r="BE31" s="144" t="s">
        <v>320</v>
      </c>
      <c r="BF31" s="144" t="s">
        <v>320</v>
      </c>
      <c r="BG31" s="144" t="s">
        <v>320</v>
      </c>
      <c r="BH31" s="144" t="s">
        <v>320</v>
      </c>
      <c r="BI31" s="144" t="s">
        <v>320</v>
      </c>
      <c r="BJ31" s="144" t="s">
        <v>320</v>
      </c>
      <c r="BK31" s="144" t="s">
        <v>320</v>
      </c>
      <c r="BL31" s="144" t="s">
        <v>320</v>
      </c>
      <c r="BM31" s="144" t="s">
        <v>320</v>
      </c>
      <c r="BN31" s="144" t="s">
        <v>320</v>
      </c>
      <c r="BO31" s="144" t="s">
        <v>320</v>
      </c>
      <c r="BP31" s="144" t="s">
        <v>320</v>
      </c>
      <c r="BQ31" s="144" t="s">
        <v>320</v>
      </c>
      <c r="BR31" s="144" t="s">
        <v>320</v>
      </c>
      <c r="BS31" s="144" t="s">
        <v>320</v>
      </c>
      <c r="BT31" s="144" t="s">
        <v>320</v>
      </c>
      <c r="BU31" s="144" t="s">
        <v>320</v>
      </c>
      <c r="BV31" s="144" t="s">
        <v>320</v>
      </c>
      <c r="BW31" s="144" t="s">
        <v>320</v>
      </c>
      <c r="BX31" s="144" t="s">
        <v>320</v>
      </c>
      <c r="BY31" s="144" t="s">
        <v>320</v>
      </c>
      <c r="BZ31" s="144" t="s">
        <v>320</v>
      </c>
      <c r="CA31" s="144" t="s">
        <v>320</v>
      </c>
      <c r="CB31" s="144" t="s">
        <v>320</v>
      </c>
      <c r="CC31" s="144" t="s">
        <v>320</v>
      </c>
      <c r="CD31" s="144" t="s">
        <v>320</v>
      </c>
      <c r="CE31" s="144" t="s">
        <v>320</v>
      </c>
      <c r="CF31" s="144" t="s">
        <v>320</v>
      </c>
      <c r="CG31" s="144" t="s">
        <v>320</v>
      </c>
      <c r="CH31" s="144" t="s">
        <v>320</v>
      </c>
      <c r="CI31" s="144" t="s">
        <v>320</v>
      </c>
      <c r="CJ31" s="144" t="s">
        <v>320</v>
      </c>
      <c r="CK31" s="144" t="s">
        <v>320</v>
      </c>
      <c r="CL31" s="144" t="s">
        <v>320</v>
      </c>
      <c r="CM31" s="144" t="s">
        <v>320</v>
      </c>
      <c r="CN31" s="144" t="s">
        <v>320</v>
      </c>
      <c r="CO31" s="144" t="s">
        <v>320</v>
      </c>
      <c r="CP31" s="144" t="s">
        <v>320</v>
      </c>
      <c r="CQ31" s="144" t="s">
        <v>320</v>
      </c>
      <c r="CR31" s="144" t="s">
        <v>320</v>
      </c>
      <c r="CS31" s="144" t="s">
        <v>320</v>
      </c>
      <c r="CT31" s="144" t="s">
        <v>320</v>
      </c>
      <c r="CU31" s="144" t="s">
        <v>320</v>
      </c>
      <c r="CV31" s="144" t="s">
        <v>320</v>
      </c>
      <c r="CW31" s="144" t="s">
        <v>320</v>
      </c>
      <c r="CX31" s="144" t="s">
        <v>320</v>
      </c>
      <c r="CY31" s="144" t="s">
        <v>320</v>
      </c>
      <c r="CZ31" s="144" t="s">
        <v>320</v>
      </c>
      <c r="DA31" s="144" t="s">
        <v>320</v>
      </c>
      <c r="DB31" s="144" t="s">
        <v>320</v>
      </c>
      <c r="DC31" s="144" t="s">
        <v>320</v>
      </c>
      <c r="DD31" s="144" t="s">
        <v>320</v>
      </c>
      <c r="DE31" s="144" t="s">
        <v>320</v>
      </c>
      <c r="DF31" s="144" t="s">
        <v>320</v>
      </c>
      <c r="DG31" s="144" t="s">
        <v>320</v>
      </c>
      <c r="DH31" s="144" t="s">
        <v>320</v>
      </c>
      <c r="DI31" s="144" t="s">
        <v>320</v>
      </c>
      <c r="DJ31" s="144" t="s">
        <v>320</v>
      </c>
      <c r="DK31" s="144" t="s">
        <v>320</v>
      </c>
      <c r="DL31" s="144" t="s">
        <v>320</v>
      </c>
      <c r="DM31" s="144" t="s">
        <v>320</v>
      </c>
      <c r="DN31" s="144" t="s">
        <v>320</v>
      </c>
      <c r="DO31" s="144" t="s">
        <v>320</v>
      </c>
      <c r="DP31" s="144" t="s">
        <v>320</v>
      </c>
      <c r="DQ31" s="144" t="s">
        <v>320</v>
      </c>
      <c r="DR31" s="144" t="s">
        <v>320</v>
      </c>
      <c r="DS31" s="144" t="s">
        <v>320</v>
      </c>
      <c r="DT31" s="144" t="s">
        <v>320</v>
      </c>
      <c r="DU31" s="144" t="s">
        <v>320</v>
      </c>
      <c r="DV31" s="144" t="s">
        <v>320</v>
      </c>
      <c r="DW31" s="144" t="s">
        <v>320</v>
      </c>
      <c r="DX31" s="144" t="s">
        <v>320</v>
      </c>
      <c r="DY31" s="144" t="s">
        <v>320</v>
      </c>
      <c r="DZ31" s="144" t="s">
        <v>320</v>
      </c>
      <c r="EA31" s="144" t="s">
        <v>320</v>
      </c>
      <c r="EB31" s="144" t="s">
        <v>320</v>
      </c>
      <c r="EC31" s="144" t="s">
        <v>320</v>
      </c>
      <c r="ED31" s="144" t="s">
        <v>320</v>
      </c>
      <c r="EE31" s="144" t="s">
        <v>320</v>
      </c>
      <c r="EF31" s="144" t="s">
        <v>320</v>
      </c>
      <c r="EG31" s="144" t="s">
        <v>320</v>
      </c>
      <c r="EH31" s="144" t="s">
        <v>320</v>
      </c>
      <c r="EI31" s="144" t="s">
        <v>320</v>
      </c>
      <c r="EJ31" s="144" t="s">
        <v>320</v>
      </c>
      <c r="EK31" s="144" t="s">
        <v>320</v>
      </c>
      <c r="EL31" s="144" t="s">
        <v>320</v>
      </c>
      <c r="EM31" s="144" t="s">
        <v>320</v>
      </c>
      <c r="EN31" s="144" t="s">
        <v>320</v>
      </c>
      <c r="EO31" s="144" t="s">
        <v>320</v>
      </c>
      <c r="EP31" s="144" t="s">
        <v>320</v>
      </c>
      <c r="EQ31" s="144" t="s">
        <v>320</v>
      </c>
      <c r="ER31" s="144" t="s">
        <v>320</v>
      </c>
      <c r="ES31" s="144" t="s">
        <v>320</v>
      </c>
      <c r="ET31" s="144" t="s">
        <v>320</v>
      </c>
      <c r="EU31" s="144" t="s">
        <v>320</v>
      </c>
      <c r="EV31" s="144" t="s">
        <v>320</v>
      </c>
      <c r="EW31" s="144" t="s">
        <v>320</v>
      </c>
      <c r="EX31" s="144" t="s">
        <v>320</v>
      </c>
      <c r="EY31" s="144" t="s">
        <v>320</v>
      </c>
      <c r="EZ31" s="144" t="s">
        <v>320</v>
      </c>
      <c r="FA31" s="144" t="s">
        <v>320</v>
      </c>
      <c r="FB31" s="144" t="s">
        <v>320</v>
      </c>
      <c r="FC31" s="144" t="s">
        <v>320</v>
      </c>
      <c r="FD31" s="144" t="s">
        <v>320</v>
      </c>
      <c r="FE31" s="144" t="s">
        <v>320</v>
      </c>
      <c r="FF31" s="144" t="s">
        <v>320</v>
      </c>
      <c r="FG31" s="144" t="s">
        <v>320</v>
      </c>
      <c r="FH31" s="144" t="s">
        <v>320</v>
      </c>
      <c r="FI31" s="144" t="s">
        <v>320</v>
      </c>
      <c r="FJ31" s="144" t="s">
        <v>320</v>
      </c>
      <c r="FK31" s="144" t="s">
        <v>320</v>
      </c>
      <c r="FL31" s="144" t="s">
        <v>320</v>
      </c>
      <c r="FM31" s="144" t="s">
        <v>320</v>
      </c>
      <c r="FN31" s="144" t="s">
        <v>320</v>
      </c>
      <c r="FO31" s="144" t="s">
        <v>320</v>
      </c>
      <c r="FP31" s="144" t="s">
        <v>320</v>
      </c>
      <c r="FQ31" s="144" t="s">
        <v>320</v>
      </c>
      <c r="FR31" s="144" t="s">
        <v>320</v>
      </c>
      <c r="FS31" s="144" t="s">
        <v>320</v>
      </c>
      <c r="FT31" s="144" t="s">
        <v>320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10"/>
  <dimension ref="A1:DA50"/>
  <sheetViews>
    <sheetView tabSelected="1" zoomScaleNormal="100" workbookViewId="0">
      <selection activeCell="C24" sqref="C24"/>
    </sheetView>
  </sheetViews>
  <sheetFormatPr baseColWidth="10" defaultColWidth="11.44140625" defaultRowHeight="14.4" x14ac:dyDescent="0.3"/>
  <cols>
    <col min="1" max="1" width="4.5546875" style="141" customWidth="1"/>
    <col min="2" max="2" width="7.109375" style="141" customWidth="1"/>
    <col min="3" max="3" width="17.88671875" style="141" bestFit="1" customWidth="1"/>
    <col min="4" max="4" width="47" style="141" bestFit="1" customWidth="1"/>
    <col min="5" max="5" width="48.88671875" style="141" customWidth="1"/>
    <col min="6" max="6" width="13.88671875" style="141" customWidth="1"/>
    <col min="7" max="7" width="11.33203125" style="141" customWidth="1"/>
    <col min="8" max="8" width="11.6640625" style="141" customWidth="1"/>
    <col min="9" max="9" width="12.6640625" style="142" customWidth="1"/>
    <col min="10" max="10" width="10.6640625" style="141" customWidth="1"/>
    <col min="11" max="11" width="14.44140625" style="141" customWidth="1"/>
    <col min="12" max="12" width="11.5546875" style="141" bestFit="1" customWidth="1"/>
    <col min="13" max="13" width="9" style="11" customWidth="1"/>
    <col min="14" max="17" width="8.44140625" style="241" customWidth="1"/>
    <col min="18" max="18" width="8.44140625" style="73" customWidth="1"/>
    <col min="19" max="21" width="7.44140625" style="73" customWidth="1"/>
    <col min="22" max="22" width="7.44140625" style="141" customWidth="1"/>
    <col min="23" max="23" width="14.44140625" style="138" bestFit="1" customWidth="1"/>
    <col min="24" max="24" width="13.5546875" style="138" bestFit="1" customWidth="1"/>
    <col min="25" max="25" width="7.33203125" style="138" customWidth="1"/>
    <col min="26" max="26" width="13" style="138" bestFit="1" customWidth="1"/>
    <col min="27" max="27" width="7.33203125" style="138" customWidth="1"/>
    <col min="28" max="28" width="12.88671875" style="138" bestFit="1" customWidth="1"/>
    <col min="29" max="29" width="7.33203125" style="138" customWidth="1"/>
    <col min="30" max="30" width="13" style="138" bestFit="1" customWidth="1"/>
    <col min="31" max="31" width="13.5546875" style="138" bestFit="1" customWidth="1"/>
    <col min="32" max="32" width="14.5546875" style="138" bestFit="1" customWidth="1"/>
    <col min="33" max="34" width="13.5546875" style="138" bestFit="1" customWidth="1"/>
    <col min="35" max="35" width="24.109375" style="138" customWidth="1"/>
    <col min="36" max="36" width="19.109375" style="138" bestFit="1" customWidth="1"/>
    <col min="37" max="37" width="13.109375" style="138" bestFit="1" customWidth="1"/>
    <col min="38" max="38" width="7.33203125" style="138" customWidth="1"/>
    <col min="39" max="39" width="13" style="138" bestFit="1" customWidth="1"/>
    <col min="40" max="40" width="7.33203125" style="138" customWidth="1"/>
    <col min="41" max="41" width="12.88671875" style="138" bestFit="1" customWidth="1"/>
    <col min="42" max="42" width="7.33203125" style="138" customWidth="1"/>
    <col min="43" max="43" width="13" style="138" bestFit="1" customWidth="1"/>
    <col min="44" max="44" width="13.5546875" style="138" bestFit="1" customWidth="1"/>
    <col min="45" max="45" width="13" style="138" bestFit="1" customWidth="1"/>
    <col min="46" max="46" width="6.33203125" style="138" bestFit="1" customWidth="1"/>
    <col min="47" max="48" width="10" style="138" customWidth="1"/>
    <col min="49" max="49" width="31.44140625" style="143" customWidth="1"/>
    <col min="50" max="52" width="11.44140625" style="141" customWidth="1"/>
    <col min="53" max="55" width="14.44140625" style="141" customWidth="1"/>
    <col min="56" max="56" width="15.44140625" style="143" customWidth="1"/>
    <col min="57" max="57" width="12.109375" style="141" customWidth="1"/>
    <col min="58" max="58" width="12.109375" style="143" customWidth="1"/>
    <col min="59" max="63" width="11.109375" style="141" customWidth="1"/>
    <col min="64" max="64" width="11.88671875" style="141" customWidth="1"/>
    <col min="65" max="78" width="8.109375" style="141" customWidth="1"/>
    <col min="79" max="82" width="11.44140625" style="141" customWidth="1"/>
    <col min="83" max="16384" width="11.44140625" style="141"/>
  </cols>
  <sheetData>
    <row r="1" spans="1:105" x14ac:dyDescent="0.3">
      <c r="A1" s="133">
        <v>1</v>
      </c>
      <c r="B1" s="133">
        <v>2</v>
      </c>
      <c r="C1" s="133">
        <v>3</v>
      </c>
      <c r="D1" s="133">
        <v>4</v>
      </c>
      <c r="E1" s="133">
        <v>5</v>
      </c>
      <c r="F1" s="133">
        <v>6</v>
      </c>
      <c r="G1" s="133">
        <v>7</v>
      </c>
      <c r="H1" s="133">
        <v>8</v>
      </c>
      <c r="I1" s="133">
        <v>9</v>
      </c>
      <c r="J1" s="133">
        <v>10</v>
      </c>
      <c r="K1" s="133">
        <v>11</v>
      </c>
      <c r="L1" s="133">
        <v>12</v>
      </c>
      <c r="M1" s="133">
        <v>13</v>
      </c>
      <c r="N1" s="237">
        <v>14</v>
      </c>
      <c r="O1" s="237">
        <v>15</v>
      </c>
      <c r="P1" s="237">
        <v>16</v>
      </c>
      <c r="Q1" s="237">
        <v>17</v>
      </c>
      <c r="R1" s="237">
        <v>18</v>
      </c>
      <c r="S1" s="237">
        <v>19</v>
      </c>
      <c r="T1" s="237">
        <v>20</v>
      </c>
      <c r="U1" s="237">
        <v>21</v>
      </c>
      <c r="V1" s="133">
        <v>22</v>
      </c>
      <c r="W1" s="133">
        <v>23</v>
      </c>
      <c r="X1" s="133">
        <v>24</v>
      </c>
      <c r="Y1" s="133">
        <v>25</v>
      </c>
      <c r="Z1" s="133">
        <v>26</v>
      </c>
      <c r="AA1" s="133">
        <v>27</v>
      </c>
      <c r="AB1" s="133">
        <v>28</v>
      </c>
      <c r="AC1" s="133">
        <v>29</v>
      </c>
      <c r="AD1" s="133">
        <v>30</v>
      </c>
      <c r="AE1" s="133">
        <v>31</v>
      </c>
      <c r="AF1" s="133">
        <v>32</v>
      </c>
      <c r="AG1" s="133">
        <v>33</v>
      </c>
      <c r="AH1" s="133">
        <v>34</v>
      </c>
      <c r="AI1" s="133">
        <v>35</v>
      </c>
      <c r="AJ1" s="133">
        <v>36</v>
      </c>
      <c r="AK1" s="133">
        <v>37</v>
      </c>
      <c r="AL1" s="133">
        <v>38</v>
      </c>
      <c r="AM1" s="133">
        <v>39</v>
      </c>
      <c r="AN1" s="133">
        <v>40</v>
      </c>
      <c r="AO1" s="133">
        <v>41</v>
      </c>
      <c r="AP1" s="133">
        <v>42</v>
      </c>
      <c r="AQ1" s="133">
        <v>43</v>
      </c>
      <c r="AR1" s="133">
        <v>44</v>
      </c>
      <c r="AS1" s="133">
        <v>45</v>
      </c>
      <c r="AT1" s="133">
        <v>46</v>
      </c>
      <c r="AU1" s="133">
        <v>47</v>
      </c>
      <c r="AV1" s="133">
        <v>48</v>
      </c>
      <c r="AW1" s="244">
        <v>49</v>
      </c>
    </row>
    <row r="2" spans="1:105" ht="15" thickBot="1" x14ac:dyDescent="0.35">
      <c r="A2" s="138">
        <f>'Plantilla Dt. Sht.'!P22</f>
        <v>1</v>
      </c>
      <c r="B2" s="138">
        <f>VLOOKUP($A2,Datos_Completos,B1,0)</f>
        <v>1</v>
      </c>
      <c r="C2" s="138" t="str">
        <f t="shared" ref="C2:F2" si="0">VLOOKUP($A2,Datos_Completos,C1,0)</f>
        <v>XV-110XX</v>
      </c>
      <c r="D2" s="138" t="str">
        <f>VLOOKUP($A2,Datos_Completos,D1,0)</f>
        <v>9 Vávulas Shutoff</v>
      </c>
      <c r="E2" s="138" t="str">
        <f>IF(VLOOKUP($A2,Datos_Completos,E1,0)="","",VLOOKUP($A2,Datos_Completos,E1,0))</f>
        <v>Valves Described By Application Shut-Off</v>
      </c>
      <c r="F2" s="138" t="str">
        <f t="shared" si="0"/>
        <v>OREDA</v>
      </c>
      <c r="G2" s="138" t="str">
        <f t="shared" ref="G2:V2" si="1">IF(VLOOKUP($A2,Datos_Completos,G1,0)="","",VLOOKUP($A2,Datos_Completos,G1,0))</f>
        <v>4.4.14</v>
      </c>
      <c r="H2" s="138">
        <f t="shared" si="1"/>
        <v>50</v>
      </c>
      <c r="I2" s="138">
        <f t="shared" si="1"/>
        <v>5</v>
      </c>
      <c r="J2" s="138">
        <f t="shared" si="1"/>
        <v>0.84670000000000001</v>
      </c>
      <c r="K2" s="138">
        <f t="shared" si="1"/>
        <v>0.84040000000000004</v>
      </c>
      <c r="L2" s="138" t="str">
        <f t="shared" si="1"/>
        <v>All Modes</v>
      </c>
      <c r="M2" s="138">
        <f t="shared" si="1"/>
        <v>16</v>
      </c>
      <c r="N2" s="73">
        <f t="shared" si="1"/>
        <v>1.46</v>
      </c>
      <c r="O2" s="73">
        <f t="shared" si="1"/>
        <v>27.77</v>
      </c>
      <c r="P2" s="73">
        <f t="shared" si="1"/>
        <v>82.71</v>
      </c>
      <c r="Q2" s="73">
        <f t="shared" si="1"/>
        <v>27.58</v>
      </c>
      <c r="R2" s="73">
        <f t="shared" si="1"/>
        <v>19.04</v>
      </c>
      <c r="S2" s="73">
        <f t="shared" si="1"/>
        <v>0.3</v>
      </c>
      <c r="T2" s="73">
        <f t="shared" si="1"/>
        <v>4.5999999999999996</v>
      </c>
      <c r="U2" s="73">
        <f t="shared" si="1"/>
        <v>11</v>
      </c>
      <c r="V2" s="138" t="str">
        <f t="shared" si="1"/>
        <v/>
      </c>
      <c r="W2" s="138" t="str">
        <f t="shared" ref="W2" si="2">VLOOKUP($A2,Datos_Completos,W1,0)</f>
        <v>Gamma</v>
      </c>
      <c r="X2" s="138">
        <f t="shared" ref="X2:AW2" si="3">VLOOKUP($A2,Datos_Completos,X1,0)</f>
        <v>3.4190461078823828</v>
      </c>
      <c r="Y2" s="138" t="e">
        <f t="shared" si="3"/>
        <v>#REF!</v>
      </c>
      <c r="Z2" s="138">
        <f t="shared" si="3"/>
        <v>10532.201581070127</v>
      </c>
      <c r="AA2" s="138" t="e">
        <f t="shared" si="3"/>
        <v>#REF!</v>
      </c>
      <c r="AB2" s="138">
        <f t="shared" si="3"/>
        <v>0</v>
      </c>
      <c r="AC2" s="138" t="e">
        <f t="shared" si="3"/>
        <v>#REF!</v>
      </c>
      <c r="AD2" s="138">
        <f t="shared" si="3"/>
        <v>10959.91595458711</v>
      </c>
      <c r="AE2" s="138">
        <f t="shared" si="3"/>
        <v>32567.028682460957</v>
      </c>
      <c r="AF2" s="138">
        <f t="shared" si="3"/>
        <v>72820.889195304291</v>
      </c>
      <c r="AG2" s="138">
        <f t="shared" si="3"/>
        <v>36010.082823190496</v>
      </c>
      <c r="AH2" s="138">
        <f t="shared" si="3"/>
        <v>19474.738797859991</v>
      </c>
      <c r="AI2" s="138">
        <f t="shared" si="3"/>
        <v>379265451.24487323</v>
      </c>
      <c r="AJ2" s="138" t="str">
        <f t="shared" si="3"/>
        <v>Gamma</v>
      </c>
      <c r="AK2" s="138">
        <f t="shared" si="3"/>
        <v>0.93280637032789437</v>
      </c>
      <c r="AL2" s="138" t="e">
        <f t="shared" si="3"/>
        <v>#REF!</v>
      </c>
      <c r="AM2" s="138">
        <f t="shared" si="3"/>
        <v>4.9313556878723244</v>
      </c>
      <c r="AN2" s="138" t="e">
        <f t="shared" si="3"/>
        <v>#REF!</v>
      </c>
      <c r="AO2" s="138">
        <f t="shared" si="3"/>
        <v>0</v>
      </c>
      <c r="AP2" s="138" t="e">
        <f t="shared" si="3"/>
        <v>#REF!</v>
      </c>
      <c r="AQ2" s="138">
        <f t="shared" si="3"/>
        <v>0.22025576639179376</v>
      </c>
      <c r="AR2" s="138">
        <f t="shared" si="3"/>
        <v>3.1095445737748997</v>
      </c>
      <c r="AS2" s="138">
        <f t="shared" si="3"/>
        <v>14.060604869254236</v>
      </c>
      <c r="AT2" s="138">
        <f t="shared" si="3"/>
        <v>4.5999999999999996</v>
      </c>
      <c r="AU2" s="247">
        <f t="shared" si="3"/>
        <v>4.7627970945876639</v>
      </c>
      <c r="AV2" s="247">
        <f t="shared" si="3"/>
        <v>22.684236164212692</v>
      </c>
      <c r="AW2" s="248">
        <f t="shared" si="3"/>
        <v>0</v>
      </c>
      <c r="BD2" s="137">
        <v>2.5205649485580737</v>
      </c>
      <c r="BE2" s="134">
        <v>3.7845526533114913E-3</v>
      </c>
      <c r="BF2" s="137">
        <v>264.23202201322209</v>
      </c>
      <c r="BG2" s="66">
        <v>153.99786252019931</v>
      </c>
      <c r="BH2" s="66">
        <v>666.01397297315293</v>
      </c>
      <c r="BI2" s="66">
        <v>580.31333862915858</v>
      </c>
      <c r="BJ2" s="66">
        <v>1470.8554786636098</v>
      </c>
      <c r="BK2" s="66">
        <v>419.50234655810408</v>
      </c>
      <c r="BL2" s="134">
        <v>0.26498945492088988</v>
      </c>
      <c r="BM2" s="141">
        <v>5</v>
      </c>
      <c r="BN2" s="134">
        <v>1.1454762275641139</v>
      </c>
      <c r="BO2" s="134">
        <v>4.3514602221082166</v>
      </c>
      <c r="BP2" s="134">
        <v>11.070497754622684</v>
      </c>
      <c r="BQ2" s="134">
        <v>0.26323950331531426</v>
      </c>
      <c r="BR2" s="141">
        <v>6</v>
      </c>
      <c r="BS2" s="134">
        <v>1.6353828954369192</v>
      </c>
      <c r="BT2" s="134">
        <v>5.3481208434097312</v>
      </c>
      <c r="BU2" s="134">
        <v>12.591587244072656</v>
      </c>
      <c r="BV2" s="134">
        <v>0.30578645160049706</v>
      </c>
      <c r="BW2" s="134">
        <v>5.0411298971161473</v>
      </c>
      <c r="BX2" s="134">
        <v>1.165626038410237</v>
      </c>
      <c r="BY2" s="134">
        <v>4.3924527709220635</v>
      </c>
      <c r="BZ2" s="134">
        <v>11.133060008828215</v>
      </c>
    </row>
    <row r="3" spans="1:105" x14ac:dyDescent="0.3">
      <c r="H3" s="219">
        <v>5</v>
      </c>
      <c r="I3" s="220">
        <v>6</v>
      </c>
      <c r="J3" s="219">
        <v>7</v>
      </c>
      <c r="K3" s="220">
        <v>8</v>
      </c>
      <c r="L3" s="219">
        <v>9</v>
      </c>
      <c r="M3" s="220">
        <v>10</v>
      </c>
      <c r="N3" s="238">
        <v>11</v>
      </c>
      <c r="O3" s="239">
        <v>12</v>
      </c>
      <c r="P3" s="238">
        <v>13</v>
      </c>
      <c r="Q3" s="239">
        <v>14</v>
      </c>
      <c r="R3" s="238">
        <v>15</v>
      </c>
      <c r="S3" s="238">
        <v>19</v>
      </c>
      <c r="T3" s="238">
        <v>20</v>
      </c>
      <c r="U3" s="238">
        <v>21</v>
      </c>
      <c r="BA3" s="294" t="s">
        <v>386</v>
      </c>
      <c r="BB3" s="295"/>
      <c r="BC3" s="295"/>
      <c r="BD3" s="295"/>
      <c r="BE3" s="295"/>
      <c r="BF3" s="295"/>
      <c r="BG3" s="295"/>
      <c r="BH3" s="295"/>
      <c r="BI3" s="295"/>
      <c r="BJ3" s="295"/>
      <c r="BK3" s="296"/>
      <c r="BL3" s="294" t="s">
        <v>333</v>
      </c>
      <c r="BM3" s="295"/>
      <c r="BN3" s="295"/>
      <c r="BO3" s="295"/>
      <c r="BP3" s="295"/>
      <c r="BQ3" s="295"/>
      <c r="BR3" s="295"/>
      <c r="BS3" s="295"/>
      <c r="BT3" s="295"/>
      <c r="BU3" s="295"/>
      <c r="BV3" s="295"/>
      <c r="BW3" s="295"/>
      <c r="BX3" s="295"/>
      <c r="BY3" s="295"/>
      <c r="BZ3" s="296"/>
      <c r="CB3" s="291" t="s">
        <v>332</v>
      </c>
      <c r="CC3" s="291"/>
      <c r="CD3" s="291"/>
      <c r="CE3" s="291"/>
      <c r="CF3" s="291"/>
      <c r="CG3" s="291"/>
      <c r="CH3" s="291"/>
      <c r="CI3" s="291"/>
      <c r="CJ3" s="291"/>
      <c r="CK3" s="291"/>
      <c r="CL3" s="291"/>
      <c r="CM3" s="297" t="s">
        <v>333</v>
      </c>
      <c r="CN3" s="298"/>
      <c r="CO3" s="298"/>
      <c r="CP3" s="298"/>
      <c r="CQ3" s="298"/>
      <c r="CR3" s="298"/>
      <c r="CS3" s="298"/>
      <c r="CT3" s="298"/>
      <c r="CU3" s="298"/>
      <c r="CV3" s="298"/>
      <c r="CW3" s="298"/>
      <c r="CX3" s="298"/>
      <c r="CY3" s="298"/>
      <c r="CZ3" s="298"/>
      <c r="DA3" s="299"/>
    </row>
    <row r="4" spans="1:105" ht="20.25" customHeight="1" x14ac:dyDescent="0.4">
      <c r="A4" s="287" t="s">
        <v>453</v>
      </c>
      <c r="B4" s="287" t="s">
        <v>452</v>
      </c>
      <c r="C4" s="287" t="s">
        <v>0</v>
      </c>
      <c r="D4" s="287" t="s">
        <v>159</v>
      </c>
      <c r="E4" s="287" t="s">
        <v>287</v>
      </c>
      <c r="F4" s="287" t="s">
        <v>239</v>
      </c>
      <c r="G4" s="287" t="s">
        <v>288</v>
      </c>
      <c r="H4" s="287" t="s">
        <v>1300</v>
      </c>
      <c r="I4" s="288" t="s">
        <v>270</v>
      </c>
      <c r="J4" s="287" t="s">
        <v>1301</v>
      </c>
      <c r="K4" s="287" t="s">
        <v>1302</v>
      </c>
      <c r="L4" s="287" t="s">
        <v>272</v>
      </c>
      <c r="M4" s="288" t="s">
        <v>1303</v>
      </c>
      <c r="N4" s="289" t="s">
        <v>1305</v>
      </c>
      <c r="O4" s="289"/>
      <c r="P4" s="289"/>
      <c r="Q4" s="289"/>
      <c r="R4" s="289"/>
      <c r="S4" s="289" t="s">
        <v>1304</v>
      </c>
      <c r="T4" s="289"/>
      <c r="U4" s="289"/>
      <c r="V4" s="289"/>
      <c r="W4" s="287" t="s">
        <v>1306</v>
      </c>
      <c r="X4" s="287"/>
      <c r="Y4" s="287"/>
      <c r="Z4" s="287"/>
      <c r="AA4" s="287"/>
      <c r="AB4" s="287"/>
      <c r="AC4" s="287"/>
      <c r="AD4" s="287"/>
      <c r="AE4" s="287"/>
      <c r="AF4" s="287"/>
      <c r="AG4" s="287"/>
      <c r="AH4" s="287"/>
      <c r="AI4" s="287"/>
      <c r="AJ4" s="287" t="s">
        <v>1307</v>
      </c>
      <c r="AK4" s="287"/>
      <c r="AL4" s="287"/>
      <c r="AM4" s="287"/>
      <c r="AN4" s="287"/>
      <c r="AO4" s="287"/>
      <c r="AP4" s="287"/>
      <c r="AQ4" s="287"/>
      <c r="AR4" s="287"/>
      <c r="AS4" s="287"/>
      <c r="AT4" s="287"/>
      <c r="AU4" s="287"/>
      <c r="AV4" s="287"/>
      <c r="AW4" s="287" t="s">
        <v>1295</v>
      </c>
      <c r="BA4" s="290" t="s">
        <v>387</v>
      </c>
      <c r="BB4" s="291"/>
      <c r="BC4" s="291"/>
      <c r="BD4" s="300" t="s">
        <v>335</v>
      </c>
      <c r="BE4" s="301"/>
      <c r="BF4" s="301"/>
      <c r="BG4" s="301"/>
      <c r="BH4" s="301"/>
      <c r="BI4" s="301"/>
      <c r="BJ4" s="301"/>
      <c r="BK4" s="302"/>
      <c r="BL4" s="147" t="s">
        <v>336</v>
      </c>
      <c r="BM4" s="304" t="s">
        <v>336</v>
      </c>
      <c r="BN4" s="305"/>
      <c r="BO4" s="305"/>
      <c r="BP4" s="305"/>
      <c r="BQ4" s="293"/>
      <c r="BR4" s="306" t="s">
        <v>337</v>
      </c>
      <c r="BS4" s="305"/>
      <c r="BT4" s="305"/>
      <c r="BU4" s="305"/>
      <c r="BV4" s="293"/>
      <c r="BW4" s="306" t="s">
        <v>338</v>
      </c>
      <c r="BX4" s="305"/>
      <c r="BY4" s="305"/>
      <c r="BZ4" s="307"/>
      <c r="CB4" s="291" t="s">
        <v>334</v>
      </c>
      <c r="CC4" s="291"/>
      <c r="CD4" s="291"/>
      <c r="CE4" s="292" t="s">
        <v>335</v>
      </c>
      <c r="CF4" s="292"/>
      <c r="CG4" s="292"/>
      <c r="CH4" s="292"/>
      <c r="CI4" s="292"/>
      <c r="CJ4" s="292"/>
      <c r="CK4" s="292"/>
      <c r="CL4" s="292"/>
      <c r="CM4" s="293" t="s">
        <v>336</v>
      </c>
      <c r="CN4" s="291"/>
      <c r="CO4" s="291"/>
      <c r="CP4" s="291"/>
      <c r="CQ4" s="291"/>
      <c r="CR4" s="291"/>
      <c r="CS4" s="291" t="s">
        <v>337</v>
      </c>
      <c r="CT4" s="291"/>
      <c r="CU4" s="291"/>
      <c r="CV4" s="291"/>
      <c r="CW4" s="291"/>
      <c r="CX4" s="291" t="s">
        <v>338</v>
      </c>
      <c r="CY4" s="291"/>
      <c r="CZ4" s="291"/>
      <c r="DA4" s="303"/>
    </row>
    <row r="5" spans="1:105" s="227" customFormat="1" ht="20.25" customHeight="1" thickBot="1" x14ac:dyDescent="0.35">
      <c r="A5" s="287"/>
      <c r="B5" s="287"/>
      <c r="C5" s="287"/>
      <c r="D5" s="287"/>
      <c r="E5" s="287"/>
      <c r="F5" s="287"/>
      <c r="G5" s="287"/>
      <c r="H5" s="287"/>
      <c r="I5" s="288"/>
      <c r="J5" s="287"/>
      <c r="K5" s="287"/>
      <c r="L5" s="287"/>
      <c r="M5" s="288"/>
      <c r="N5" s="249" t="s">
        <v>346</v>
      </c>
      <c r="O5" s="249" t="s">
        <v>279</v>
      </c>
      <c r="P5" s="249" t="s">
        <v>301</v>
      </c>
      <c r="Q5" s="249" t="s">
        <v>281</v>
      </c>
      <c r="R5" s="249" t="s">
        <v>277</v>
      </c>
      <c r="S5" s="249" t="s">
        <v>278</v>
      </c>
      <c r="T5" s="249" t="s">
        <v>279</v>
      </c>
      <c r="U5" s="249" t="s">
        <v>280</v>
      </c>
      <c r="V5" s="249" t="s">
        <v>277</v>
      </c>
      <c r="W5" s="249" t="s">
        <v>414</v>
      </c>
      <c r="X5" s="249" t="s">
        <v>424</v>
      </c>
      <c r="Y5" s="249" t="s">
        <v>445</v>
      </c>
      <c r="Z5" s="249" t="s">
        <v>425</v>
      </c>
      <c r="AA5" s="249" t="s">
        <v>445</v>
      </c>
      <c r="AB5" s="249" t="s">
        <v>426</v>
      </c>
      <c r="AC5" s="249" t="s">
        <v>445</v>
      </c>
      <c r="AD5" s="249" t="s">
        <v>415</v>
      </c>
      <c r="AE5" s="249" t="s">
        <v>416</v>
      </c>
      <c r="AF5" s="249" t="s">
        <v>417</v>
      </c>
      <c r="AG5" s="249" t="s">
        <v>300</v>
      </c>
      <c r="AH5" s="249" t="s">
        <v>281</v>
      </c>
      <c r="AI5" s="249" t="s">
        <v>304</v>
      </c>
      <c r="AJ5" s="249" t="s">
        <v>414</v>
      </c>
      <c r="AK5" s="249" t="s">
        <v>424</v>
      </c>
      <c r="AL5" s="249" t="s">
        <v>445</v>
      </c>
      <c r="AM5" s="249" t="s">
        <v>425</v>
      </c>
      <c r="AN5" s="249" t="s">
        <v>445</v>
      </c>
      <c r="AO5" s="249" t="s">
        <v>426</v>
      </c>
      <c r="AP5" s="249" t="s">
        <v>445</v>
      </c>
      <c r="AQ5" s="249" t="s">
        <v>415</v>
      </c>
      <c r="AR5" s="249" t="s">
        <v>416</v>
      </c>
      <c r="AS5" s="249" t="s">
        <v>417</v>
      </c>
      <c r="AT5" s="249" t="s">
        <v>300</v>
      </c>
      <c r="AU5" s="249" t="s">
        <v>281</v>
      </c>
      <c r="AV5" s="249" t="s">
        <v>304</v>
      </c>
      <c r="AW5" s="287"/>
      <c r="BA5" s="228" t="s">
        <v>346</v>
      </c>
      <c r="BB5" s="229" t="s">
        <v>279</v>
      </c>
      <c r="BC5" s="229" t="s">
        <v>301</v>
      </c>
      <c r="BD5" s="230" t="s">
        <v>388</v>
      </c>
      <c r="BE5" s="230" t="s">
        <v>344</v>
      </c>
      <c r="BF5" s="230" t="s">
        <v>389</v>
      </c>
      <c r="BG5" s="230" t="s">
        <v>346</v>
      </c>
      <c r="BH5" s="230" t="s">
        <v>347</v>
      </c>
      <c r="BI5" s="230" t="s">
        <v>348</v>
      </c>
      <c r="BJ5" s="230" t="s">
        <v>301</v>
      </c>
      <c r="BK5" s="231" t="s">
        <v>281</v>
      </c>
      <c r="BL5" s="228" t="s">
        <v>349</v>
      </c>
      <c r="BM5" s="229" t="s">
        <v>350</v>
      </c>
      <c r="BN5" s="229">
        <v>0.95</v>
      </c>
      <c r="BO5" s="229">
        <v>0.5</v>
      </c>
      <c r="BP5" s="229">
        <v>0.05</v>
      </c>
      <c r="BQ5" s="232" t="s">
        <v>351</v>
      </c>
      <c r="BR5" s="229" t="s">
        <v>350</v>
      </c>
      <c r="BS5" s="229">
        <v>0.95</v>
      </c>
      <c r="BT5" s="229">
        <v>0.5</v>
      </c>
      <c r="BU5" s="229">
        <v>0.05</v>
      </c>
      <c r="BV5" s="232" t="s">
        <v>351</v>
      </c>
      <c r="BW5" s="229" t="s">
        <v>350</v>
      </c>
      <c r="BX5" s="229">
        <v>0.95</v>
      </c>
      <c r="BY5" s="229">
        <v>0.5</v>
      </c>
      <c r="BZ5" s="233">
        <v>0.05</v>
      </c>
      <c r="CB5" s="234" t="s">
        <v>342</v>
      </c>
      <c r="CC5" s="234" t="s">
        <v>279</v>
      </c>
      <c r="CD5" s="234" t="s">
        <v>280</v>
      </c>
      <c r="CE5" s="235" t="s">
        <v>388</v>
      </c>
      <c r="CF5" s="235" t="s">
        <v>344</v>
      </c>
      <c r="CG5" s="235" t="s">
        <v>389</v>
      </c>
      <c r="CH5" s="235" t="s">
        <v>346</v>
      </c>
      <c r="CI5" s="235" t="s">
        <v>347</v>
      </c>
      <c r="CJ5" s="235" t="s">
        <v>348</v>
      </c>
      <c r="CK5" s="235" t="s">
        <v>301</v>
      </c>
      <c r="CL5" s="235" t="s">
        <v>281</v>
      </c>
      <c r="CM5" s="236" t="s">
        <v>349</v>
      </c>
      <c r="CN5" s="229" t="s">
        <v>350</v>
      </c>
      <c r="CO5" s="229">
        <v>0.95</v>
      </c>
      <c r="CP5" s="229">
        <v>0.5</v>
      </c>
      <c r="CQ5" s="229">
        <v>0.05</v>
      </c>
      <c r="CR5" s="232" t="s">
        <v>351</v>
      </c>
      <c r="CS5" s="229" t="s">
        <v>350</v>
      </c>
      <c r="CT5" s="229">
        <v>0.95</v>
      </c>
      <c r="CU5" s="229">
        <v>0.5</v>
      </c>
      <c r="CV5" s="229">
        <v>0.05</v>
      </c>
      <c r="CW5" s="232" t="s">
        <v>351</v>
      </c>
      <c r="CX5" s="229" t="s">
        <v>350</v>
      </c>
      <c r="CY5" s="229">
        <v>0.95</v>
      </c>
      <c r="CZ5" s="229">
        <v>0.5</v>
      </c>
      <c r="DA5" s="233">
        <v>0.05</v>
      </c>
    </row>
    <row r="6" spans="1:105" s="143" customFormat="1" x14ac:dyDescent="0.3">
      <c r="A6" s="158">
        <v>1</v>
      </c>
      <c r="B6" s="158">
        <v>1</v>
      </c>
      <c r="C6" s="155" t="s">
        <v>1308</v>
      </c>
      <c r="D6" s="156" t="s">
        <v>1314</v>
      </c>
      <c r="E6" s="196" t="s">
        <v>1028</v>
      </c>
      <c r="F6" s="158" t="s">
        <v>423</v>
      </c>
      <c r="G6" s="221" t="s">
        <v>1027</v>
      </c>
      <c r="H6" s="157">
        <f t="shared" ref="H6:R24" si="4">VLOOKUP($G6,OREDA2009,H$3,0)</f>
        <v>50</v>
      </c>
      <c r="I6" s="157">
        <f t="shared" si="4"/>
        <v>5</v>
      </c>
      <c r="J6" s="157">
        <f t="shared" si="4"/>
        <v>0.84670000000000001</v>
      </c>
      <c r="K6" s="157">
        <f t="shared" si="4"/>
        <v>0.84040000000000004</v>
      </c>
      <c r="L6" s="157" t="str">
        <f t="shared" si="4"/>
        <v>All Modes</v>
      </c>
      <c r="M6" s="157">
        <f t="shared" si="4"/>
        <v>16</v>
      </c>
      <c r="N6" s="240">
        <f t="shared" si="4"/>
        <v>1.46</v>
      </c>
      <c r="O6" s="240">
        <f t="shared" si="4"/>
        <v>27.77</v>
      </c>
      <c r="P6" s="240">
        <f t="shared" si="4"/>
        <v>82.71</v>
      </c>
      <c r="Q6" s="240">
        <f t="shared" si="4"/>
        <v>27.58</v>
      </c>
      <c r="R6" s="240">
        <f t="shared" si="4"/>
        <v>19.04</v>
      </c>
      <c r="S6" s="242">
        <f t="shared" ref="S6:S35" si="5">IF(VLOOKUP($G6,OREDA2009,S$3,0)="-",0.3,VLOOKUP($G6,OREDA2009,S$3,0))</f>
        <v>0.3</v>
      </c>
      <c r="T6" s="242">
        <f t="shared" ref="T6:U24" si="6">VLOOKUP($G6,OREDA2009,T$3,0)</f>
        <v>4.5999999999999996</v>
      </c>
      <c r="U6" s="242">
        <f t="shared" si="6"/>
        <v>11</v>
      </c>
      <c r="V6" s="163"/>
      <c r="W6" s="158" t="str">
        <f t="shared" ref="W6:W23" si="7">IF(F6="OREDA","Gamma","Exponential")</f>
        <v>Gamma</v>
      </c>
      <c r="X6" s="160">
        <f t="shared" ref="X6:X23" si="8">IF(W6="Gamma",BD6,1/R6*1000000)</f>
        <v>3.4190461078823828</v>
      </c>
      <c r="Y6" s="160" t="e">
        <f>VLOOKUP(C6,Export_Library,3,0)</f>
        <v>#REF!</v>
      </c>
      <c r="Z6" s="160">
        <f t="shared" ref="Z6:Z23" si="9">IF(W6="Gamma",BF6,0)</f>
        <v>10532.201581070127</v>
      </c>
      <c r="AA6" s="160" t="e">
        <f t="shared" ref="AA6:AA23" si="10">VLOOKUP(C6,Export_Library,4,0)</f>
        <v>#REF!</v>
      </c>
      <c r="AB6" s="160">
        <v>0</v>
      </c>
      <c r="AC6" s="160" t="e">
        <f t="shared" ref="AC6:AC23" si="11">VLOOKUP(C6,Export_Library,5,0)</f>
        <v>#REF!</v>
      </c>
      <c r="AD6" s="160">
        <f t="shared" ref="AD6:AD23" si="12">IF(W6="Gamma",BG6,-X6*LN(1-0.05))</f>
        <v>10959.91595458711</v>
      </c>
      <c r="AE6" s="160">
        <f t="shared" ref="AE6:AE23" si="13">IF(W6="Gamma",BI6,-X6*LN(1-0.5))</f>
        <v>32567.028682460957</v>
      </c>
      <c r="AF6" s="160">
        <f t="shared" ref="AF6:AF23" si="14">IF(W6="Gamma",BJ6,-X6*LN(1-0.95))</f>
        <v>72820.889195304291</v>
      </c>
      <c r="AG6" s="160">
        <f t="shared" ref="AG6:AG23" si="15">IF(W6="Gamma",BH6,X6)</f>
        <v>36010.082823190496</v>
      </c>
      <c r="AH6" s="160">
        <f t="shared" ref="AH6:AH23" si="16">IF(W6="Gamma",BK6,X6)</f>
        <v>19474.738797859991</v>
      </c>
      <c r="AI6" s="160">
        <f t="shared" ref="AI6:AI23" si="17">AH6^2</f>
        <v>379265451.24487323</v>
      </c>
      <c r="AJ6" s="158" t="str">
        <f t="shared" ref="AJ6:AJ23" si="18">IF(ISNUMBER(V6),"Exponential","Gamma")</f>
        <v>Gamma</v>
      </c>
      <c r="AK6" s="161">
        <f t="shared" ref="AK6:AK23" si="19">IF(AJ6="Gamma",CE6,V6)</f>
        <v>0.93280637032789437</v>
      </c>
      <c r="AL6" s="161" t="e">
        <f t="shared" ref="AL6:AL23" si="20">VLOOKUP(C6,Export_Library,7,0)</f>
        <v>#REF!</v>
      </c>
      <c r="AM6" s="161">
        <f t="shared" ref="AM6:AM23" si="21">IF(AJ6="Gamma",CG6,0)</f>
        <v>4.9313556878723244</v>
      </c>
      <c r="AN6" s="161" t="e">
        <f t="shared" ref="AN6:AN23" si="22">VLOOKUP(C6,Export_Library,8,0)</f>
        <v>#REF!</v>
      </c>
      <c r="AO6" s="162">
        <v>0</v>
      </c>
      <c r="AP6" s="162" t="e">
        <f t="shared" ref="AP6:AP23" si="23">VLOOKUP(C6,Export_Library,9,0)</f>
        <v>#REF!</v>
      </c>
      <c r="AQ6" s="163">
        <f t="shared" ref="AQ6:AQ23" si="24">IF(AJ6="Gamma",CH6,-AK6*LN(1-0.05))</f>
        <v>0.22025576639179376</v>
      </c>
      <c r="AR6" s="163">
        <f t="shared" ref="AR6:AR23" si="25">IF(AJ6="Gamma",CJ6,-AK6*LN(1-0.5))</f>
        <v>3.1095445737748997</v>
      </c>
      <c r="AS6" s="163">
        <f t="shared" ref="AS6:AS23" si="26">IF(AJ6="Gamma",CK6,-AK6*LN(1-0.95))</f>
        <v>14.060604869254236</v>
      </c>
      <c r="AT6" s="163">
        <f t="shared" ref="AT6:AT23" si="27">IF(AJ6="Gamma",CI6,AK6)</f>
        <v>4.5999999999999996</v>
      </c>
      <c r="AU6" s="163">
        <f t="shared" ref="AU6:AU23" si="28">IF(AJ6="Gamma",CL6,AK6)</f>
        <v>4.7627970945876639</v>
      </c>
      <c r="AV6" s="163">
        <f t="shared" ref="AV6:AV23" si="29">AU6^2</f>
        <v>22.684236164212692</v>
      </c>
      <c r="AW6" s="72"/>
      <c r="BA6" s="67">
        <f>1000000/P6</f>
        <v>12090.436464756378</v>
      </c>
      <c r="BB6" s="68">
        <f>1000000/O6</f>
        <v>36010.082823190496</v>
      </c>
      <c r="BC6" s="68">
        <f>1000000/N6</f>
        <v>684931.50684931513</v>
      </c>
      <c r="BD6" s="42">
        <f>BW6/2</f>
        <v>3.4190461078823828</v>
      </c>
      <c r="BE6" s="42">
        <f>BD6/BB6</f>
        <v>9.4946910415893765E-5</v>
      </c>
      <c r="BF6" s="42">
        <f>1/BE6</f>
        <v>10532.201581070127</v>
      </c>
      <c r="BG6" s="69">
        <f>1/2/BE6*BX6</f>
        <v>10959.91595458711</v>
      </c>
      <c r="BH6" s="69">
        <f>BD6/BE6</f>
        <v>36010.082823190496</v>
      </c>
      <c r="BI6" s="69">
        <f>1/2/BE6*BY6</f>
        <v>32567.028682460957</v>
      </c>
      <c r="BJ6" s="69">
        <f>1/2/BE6*BZ6</f>
        <v>72820.889195304291</v>
      </c>
      <c r="BK6" s="70">
        <f>SQRT(BH6/BE6)</f>
        <v>19474.738797859991</v>
      </c>
      <c r="BL6" s="71">
        <f>BA6/BB6</f>
        <v>0.3357514206262846</v>
      </c>
      <c r="BM6" s="46">
        <v>6</v>
      </c>
      <c r="BN6" s="47">
        <v>1.6353828954369192</v>
      </c>
      <c r="BO6" s="47">
        <v>5.3481208434097312</v>
      </c>
      <c r="BP6" s="47">
        <v>12.591587244072656</v>
      </c>
      <c r="BQ6" s="47">
        <f>BN6/BO6</f>
        <v>0.30578645160049706</v>
      </c>
      <c r="BR6" s="46">
        <f>BM6+1</f>
        <v>7</v>
      </c>
      <c r="BS6" s="47">
        <v>2.1673499186219098</v>
      </c>
      <c r="BT6" s="47">
        <v>6.3458113725816272</v>
      </c>
      <c r="BU6" s="47">
        <v>14.067140433005996</v>
      </c>
      <c r="BV6" s="47">
        <f>BS6/BT6</f>
        <v>0.34154023675938233</v>
      </c>
      <c r="BW6" s="47">
        <f>(BL6-BQ6)/(BV6-BQ6)*(BR6-BM6)+BM6</f>
        <v>6.8380922157647657</v>
      </c>
      <c r="BX6" s="47">
        <f>(BL6-BQ6)/(BV6-BQ6)*(BS6-BN6)+BN6</f>
        <v>2.0812203166118142</v>
      </c>
      <c r="BY6" s="47">
        <f>(BL6-BQ6)/(BV6-BQ6)*(BT6-BO6)+BO6</f>
        <v>6.1842775096509266</v>
      </c>
      <c r="BZ6" s="48">
        <f>(BL6-BQ6)/(BV6-BQ6)*(BU6-BP6)+BP6</f>
        <v>13.828236885664564</v>
      </c>
      <c r="CB6" s="39">
        <f>S6</f>
        <v>0.3</v>
      </c>
      <c r="CC6" s="40">
        <f>T6</f>
        <v>4.5999999999999996</v>
      </c>
      <c r="CD6" s="40">
        <f>U6</f>
        <v>11</v>
      </c>
      <c r="CE6" s="120">
        <f>CX6/2</f>
        <v>0.93280637032789437</v>
      </c>
      <c r="CF6" s="42">
        <f>CE6/CC6</f>
        <v>0.20278399354954227</v>
      </c>
      <c r="CG6" s="41">
        <f>1/CF6</f>
        <v>4.9313556878723244</v>
      </c>
      <c r="CH6" s="43">
        <f>1/2/CF6*CY6</f>
        <v>0.22025576639179376</v>
      </c>
      <c r="CI6" s="43">
        <f>CE6/CF6</f>
        <v>4.5999999999999996</v>
      </c>
      <c r="CJ6" s="43">
        <f>1/2/CF6*CZ6</f>
        <v>3.1095445737748997</v>
      </c>
      <c r="CK6" s="43">
        <f>1/2/CF6*DA6</f>
        <v>14.060604869254236</v>
      </c>
      <c r="CL6" s="44">
        <f>SQRT(CI6/CF6)</f>
        <v>4.7627970945876639</v>
      </c>
      <c r="CM6" s="45">
        <f>CB6/CC6</f>
        <v>6.5217391304347824E-2</v>
      </c>
      <c r="CN6" s="46">
        <v>1</v>
      </c>
      <c r="CO6" s="47">
        <v>3.9321400005324098E-3</v>
      </c>
      <c r="CP6" s="47">
        <v>0.4549364250484666</v>
      </c>
      <c r="CQ6" s="47">
        <v>3.841459149489757</v>
      </c>
      <c r="CR6" s="47">
        <f>CO6/CP6</f>
        <v>8.6432736180961992E-3</v>
      </c>
      <c r="CS6" s="46">
        <f>CN6+1</f>
        <v>2</v>
      </c>
      <c r="CT6" s="47">
        <v>0.10258658882167279</v>
      </c>
      <c r="CU6" s="47">
        <v>1.3862943760896287</v>
      </c>
      <c r="CV6" s="47">
        <v>5.9914645471914136</v>
      </c>
      <c r="CW6" s="47">
        <f>CT6/CU6</f>
        <v>7.4000580678284605E-2</v>
      </c>
      <c r="CX6" s="47">
        <f>(CM6-CR6)/(CW6-CR6)*(CS6-CN6)+CN6</f>
        <v>1.8656127406557887</v>
      </c>
      <c r="CY6" s="47">
        <f>(CM6-CR6)/(CW6-CR6)*(CT6-CO6)+CO6</f>
        <v>8.9328687822485986E-2</v>
      </c>
      <c r="CZ6" s="47">
        <f>(CM6-CR6)/(CW6-CR6)*(CU6-CP6)+CP6</f>
        <v>1.2611317335807668</v>
      </c>
      <c r="DA6" s="48">
        <f>(CM6-CR6)/(CW6-CR6)*(CV6-CQ6)+CQ6</f>
        <v>5.702531214219027</v>
      </c>
    </row>
    <row r="7" spans="1:105" s="143" customFormat="1" x14ac:dyDescent="0.3">
      <c r="A7" s="158">
        <f t="shared" ref="A7:A35" si="30">A6+1</f>
        <v>2</v>
      </c>
      <c r="B7" s="158">
        <f t="shared" ref="B7:B35" si="31">1+B6</f>
        <v>2</v>
      </c>
      <c r="C7" s="74" t="s">
        <v>1315</v>
      </c>
      <c r="D7" s="72" t="s">
        <v>1299</v>
      </c>
      <c r="E7" s="250" t="s">
        <v>816</v>
      </c>
      <c r="F7" s="158" t="s">
        <v>423</v>
      </c>
      <c r="G7" s="159" t="s">
        <v>815</v>
      </c>
      <c r="H7" s="157">
        <f t="shared" si="4"/>
        <v>1</v>
      </c>
      <c r="I7" s="157">
        <f t="shared" si="4"/>
        <v>1</v>
      </c>
      <c r="J7" s="157">
        <f t="shared" si="4"/>
        <v>1.7500000000000002E-2</v>
      </c>
      <c r="K7" s="157">
        <f t="shared" si="4"/>
        <v>1.7500000000000002E-2</v>
      </c>
      <c r="L7" s="157" t="str">
        <f t="shared" si="4"/>
        <v>All Modes</v>
      </c>
      <c r="M7" s="157">
        <f t="shared" si="4"/>
        <v>1</v>
      </c>
      <c r="N7" s="240">
        <f t="shared" si="4"/>
        <v>2.85</v>
      </c>
      <c r="O7" s="240">
        <f t="shared" si="4"/>
        <v>57.08</v>
      </c>
      <c r="P7" s="240">
        <f t="shared" si="4"/>
        <v>270.83</v>
      </c>
      <c r="Q7" s="240">
        <f t="shared" si="4"/>
        <v>57.08</v>
      </c>
      <c r="R7" s="240">
        <f t="shared" si="4"/>
        <v>57.08</v>
      </c>
      <c r="S7" s="242">
        <f t="shared" si="5"/>
        <v>0.3</v>
      </c>
      <c r="T7" s="242" t="str">
        <f t="shared" si="6"/>
        <v>-</v>
      </c>
      <c r="U7" s="242" t="str">
        <f t="shared" si="6"/>
        <v>-</v>
      </c>
      <c r="V7" s="163"/>
      <c r="W7" s="158" t="str">
        <f t="shared" ref="W7" si="32">IF(F7="OREDA","Gamma","Exponential")</f>
        <v>Gamma</v>
      </c>
      <c r="X7" s="160">
        <f t="shared" ref="X7" si="33">IF(W7="Gamma",BD7,1/R7*1000000)</f>
        <v>1.9922763363651932</v>
      </c>
      <c r="Y7" s="160" t="e">
        <f t="shared" ref="Y7" si="34">VLOOKUP(C7,Export_Library,3,0)</f>
        <v>#REF!</v>
      </c>
      <c r="Z7" s="160">
        <f t="shared" ref="Z7" si="35">IF(W7="Gamma",BF7,0)</f>
        <v>8793.5949840578687</v>
      </c>
      <c r="AA7" s="160" t="e">
        <f t="shared" ref="AA7" si="36">VLOOKUP(C7,Export_Library,4,0)</f>
        <v>#REF!</v>
      </c>
      <c r="AB7" s="160">
        <v>0</v>
      </c>
      <c r="AC7" s="160" t="e">
        <f t="shared" ref="AC7" si="37">VLOOKUP(C7,Export_Library,5,0)</f>
        <v>#REF!</v>
      </c>
      <c r="AD7" s="160">
        <f t="shared" ref="AD7" si="38">IF(W7="Gamma",BG7,-X7*LN(1-0.05))</f>
        <v>3100.5307399719327</v>
      </c>
      <c r="AE7" s="160">
        <f t="shared" ref="AE7" si="39">IF(W7="Gamma",BI7,-X7*LN(1-0.5))</f>
        <v>14691.415275855241</v>
      </c>
      <c r="AF7" s="160">
        <f t="shared" ref="AF7" si="40">IF(W7="Gamma",BJ7,-X7*LN(1-0.95))</f>
        <v>41601.995046548072</v>
      </c>
      <c r="AG7" s="160">
        <f t="shared" ref="AG7" si="41">IF(W7="Gamma",BH7,X7)</f>
        <v>17519.271198318151</v>
      </c>
      <c r="AH7" s="160">
        <f t="shared" ref="AH7" si="42">IF(W7="Gamma",BK7,X7)</f>
        <v>12411.985148793885</v>
      </c>
      <c r="AI7" s="160">
        <f t="shared" ref="AI7" si="43">AH7^2</f>
        <v>154057375.33387995</v>
      </c>
      <c r="AJ7" s="158" t="str">
        <f t="shared" ref="AJ7" si="44">IF(ISNUMBER(V7),"Exponential","Gamma")</f>
        <v>Gamma</v>
      </c>
      <c r="AK7" s="161" t="e">
        <f t="shared" ref="AK7" si="45">IF(AJ7="Gamma",CE7,V7)</f>
        <v>#VALUE!</v>
      </c>
      <c r="AL7" s="161" t="e">
        <f t="shared" ref="AL7" si="46">VLOOKUP(C7,Export_Library,7,0)</f>
        <v>#REF!</v>
      </c>
      <c r="AM7" s="161" t="e">
        <f t="shared" ref="AM7" si="47">IF(AJ7="Gamma",CG7,0)</f>
        <v>#VALUE!</v>
      </c>
      <c r="AN7" s="161" t="e">
        <f t="shared" ref="AN7" si="48">VLOOKUP(C7,Export_Library,8,0)</f>
        <v>#REF!</v>
      </c>
      <c r="AO7" s="162">
        <v>0</v>
      </c>
      <c r="AP7" s="162" t="e">
        <f t="shared" ref="AP7" si="49">VLOOKUP(C7,Export_Library,9,0)</f>
        <v>#REF!</v>
      </c>
      <c r="AQ7" s="163" t="e">
        <f t="shared" ref="AQ7" si="50">IF(AJ7="Gamma",CH7,-AK7*LN(1-0.05))</f>
        <v>#VALUE!</v>
      </c>
      <c r="AR7" s="163" t="e">
        <f t="shared" ref="AR7" si="51">IF(AJ7="Gamma",CJ7,-AK7*LN(1-0.5))</f>
        <v>#VALUE!</v>
      </c>
      <c r="AS7" s="163" t="e">
        <f t="shared" ref="AS7" si="52">IF(AJ7="Gamma",CK7,-AK7*LN(1-0.95))</f>
        <v>#VALUE!</v>
      </c>
      <c r="AT7" s="163" t="e">
        <f t="shared" ref="AT7" si="53">IF(AJ7="Gamma",CI7,AK7)</f>
        <v>#VALUE!</v>
      </c>
      <c r="AU7" s="163" t="e">
        <f t="shared" ref="AU7" si="54">IF(AJ7="Gamma",CL7,AK7)</f>
        <v>#VALUE!</v>
      </c>
      <c r="AV7" s="163" t="e">
        <f t="shared" ref="AV7" si="55">AU7^2</f>
        <v>#VALUE!</v>
      </c>
      <c r="AW7" s="252"/>
      <c r="BA7" s="67">
        <f t="shared" ref="BA7" si="56">1000000/P7</f>
        <v>3692.3531366539896</v>
      </c>
      <c r="BB7" s="68">
        <f t="shared" ref="BB7" si="57">1000000/O7</f>
        <v>17519.271198318151</v>
      </c>
      <c r="BC7" s="68">
        <f t="shared" ref="BC7" si="58">1000000/N7</f>
        <v>350877.19298245612</v>
      </c>
      <c r="BD7" s="42">
        <f t="shared" ref="BD7" si="59">BW7/2</f>
        <v>1.9922763363651932</v>
      </c>
      <c r="BE7" s="42">
        <f t="shared" ref="BE7" si="60">BD7/BB7</f>
        <v>1.1371913327972523E-4</v>
      </c>
      <c r="BF7" s="42">
        <f t="shared" ref="BF7" si="61">1/BE7</f>
        <v>8793.5949840578687</v>
      </c>
      <c r="BG7" s="69">
        <f t="shared" ref="BG7" si="62">1/2/BE7*BX7</f>
        <v>3100.5307399719327</v>
      </c>
      <c r="BH7" s="69">
        <f t="shared" ref="BH7" si="63">BD7/BE7</f>
        <v>17519.271198318151</v>
      </c>
      <c r="BI7" s="69">
        <f t="shared" ref="BI7" si="64">1/2/BE7*BY7</f>
        <v>14691.415275855241</v>
      </c>
      <c r="BJ7" s="69">
        <f t="shared" ref="BJ7" si="65">1/2/BE7*BZ7</f>
        <v>41601.995046548072</v>
      </c>
      <c r="BK7" s="70">
        <f t="shared" ref="BK7" si="66">SQRT(BH7/BE7)</f>
        <v>12411.985148793885</v>
      </c>
      <c r="BL7" s="71">
        <f t="shared" ref="BL7" si="67">BA7/BB7</f>
        <v>0.21075951704020973</v>
      </c>
      <c r="BM7" s="46">
        <v>3</v>
      </c>
      <c r="BN7" s="47">
        <v>0.35184631840544622</v>
      </c>
      <c r="BO7" s="47">
        <v>2.3659738927290714</v>
      </c>
      <c r="BP7" s="47">
        <v>7.81472776394987</v>
      </c>
      <c r="BQ7" s="47">
        <f t="shared" ref="BQ7" si="68">BN7/BO7</f>
        <v>0.14871098936751298</v>
      </c>
      <c r="BR7" s="46">
        <f t="shared" ref="BR7" si="69">BM7+1</f>
        <v>4</v>
      </c>
      <c r="BS7" s="47">
        <v>0.71072302281597644</v>
      </c>
      <c r="BT7" s="47">
        <v>3.3566940013967228</v>
      </c>
      <c r="BU7" s="47">
        <v>9.487729036988851</v>
      </c>
      <c r="BV7" s="47">
        <f t="shared" ref="BV7" si="70">BS7/BT7</f>
        <v>0.21173303927025938</v>
      </c>
      <c r="BW7" s="47">
        <f t="shared" ref="BW7" si="71">(BL7-BQ7)/(BV7-BQ7)*(BR7-BM7)+BM7</f>
        <v>3.9845526727303864</v>
      </c>
      <c r="BX7" s="47">
        <f t="shared" ref="BX7" si="72">(BL7-BQ7)/(BV7-BQ7)*(BS7-BN7)+BN7</f>
        <v>0.70517933691350654</v>
      </c>
      <c r="BY7" s="47">
        <f t="shared" ref="BY7" si="73">(BL7-BQ7)/(BV7-BQ7)*(BT7-BO7)+BO7</f>
        <v>3.3413900236455465</v>
      </c>
      <c r="BZ7" s="48">
        <f t="shared" ref="BZ7" si="74">(BL7-BQ7)/(BV7-BQ7)*(BU7-BP7)+BP7</f>
        <v>9.4618856388017374</v>
      </c>
      <c r="CB7" s="39">
        <f t="shared" ref="CB7" si="75">S7</f>
        <v>0.3</v>
      </c>
      <c r="CC7" s="40" t="str">
        <f t="shared" ref="CC7" si="76">T7</f>
        <v>-</v>
      </c>
      <c r="CD7" s="40" t="str">
        <f t="shared" ref="CD7" si="77">U7</f>
        <v>-</v>
      </c>
      <c r="CE7" s="120" t="e">
        <f t="shared" ref="CE7" si="78">CX7/2</f>
        <v>#VALUE!</v>
      </c>
      <c r="CF7" s="42" t="e">
        <f t="shared" ref="CF7" si="79">CE7/CC7</f>
        <v>#VALUE!</v>
      </c>
      <c r="CG7" s="41" t="e">
        <f t="shared" ref="CG7" si="80">1/CF7</f>
        <v>#VALUE!</v>
      </c>
      <c r="CH7" s="43" t="e">
        <f t="shared" ref="CH7" si="81">1/2/CF7*CY7</f>
        <v>#VALUE!</v>
      </c>
      <c r="CI7" s="43" t="e">
        <f t="shared" ref="CI7" si="82">CE7/CF7</f>
        <v>#VALUE!</v>
      </c>
      <c r="CJ7" s="43" t="e">
        <f t="shared" ref="CJ7" si="83">1/2/CF7*CZ7</f>
        <v>#VALUE!</v>
      </c>
      <c r="CK7" s="43" t="e">
        <f t="shared" ref="CK7" si="84">1/2/CF7*DA7</f>
        <v>#VALUE!</v>
      </c>
      <c r="CL7" s="44" t="e">
        <f t="shared" ref="CL7" si="85">SQRT(CI7/CF7)</f>
        <v>#VALUE!</v>
      </c>
      <c r="CM7" s="45" t="e">
        <f t="shared" ref="CM7" si="86">CB7/CC7</f>
        <v>#VALUE!</v>
      </c>
      <c r="CN7" s="46" t="e">
        <v>#VALUE!</v>
      </c>
      <c r="CO7" s="47" t="e">
        <v>#VALUE!</v>
      </c>
      <c r="CP7" s="47" t="e">
        <v>#VALUE!</v>
      </c>
      <c r="CQ7" s="47" t="e">
        <v>#VALUE!</v>
      </c>
      <c r="CR7" s="47" t="e">
        <f t="shared" ref="CR7" si="87">CO7/CP7</f>
        <v>#VALUE!</v>
      </c>
      <c r="CS7" s="46" t="e">
        <f t="shared" ref="CS7" si="88">CN7+1</f>
        <v>#VALUE!</v>
      </c>
      <c r="CT7" s="47" t="e">
        <v>#VALUE!</v>
      </c>
      <c r="CU7" s="47" t="e">
        <v>#VALUE!</v>
      </c>
      <c r="CV7" s="47" t="e">
        <v>#VALUE!</v>
      </c>
      <c r="CW7" s="47" t="e">
        <f t="shared" ref="CW7" si="89">CT7/CU7</f>
        <v>#VALUE!</v>
      </c>
      <c r="CX7" s="47" t="e">
        <f t="shared" ref="CX7" si="90">(CM7-CR7)/(CW7-CR7)*(CS7-CN7)+CN7</f>
        <v>#VALUE!</v>
      </c>
      <c r="CY7" s="47" t="e">
        <f t="shared" ref="CY7" si="91">(CM7-CR7)/(CW7-CR7)*(CT7-CO7)+CO7</f>
        <v>#VALUE!</v>
      </c>
      <c r="CZ7" s="47" t="e">
        <f t="shared" ref="CZ7" si="92">(CM7-CR7)/(CW7-CR7)*(CU7-CP7)+CP7</f>
        <v>#VALUE!</v>
      </c>
      <c r="DA7" s="48" t="e">
        <f t="shared" ref="DA7" si="93">(CM7-CR7)/(CW7-CR7)*(CV7-CQ7)+CQ7</f>
        <v>#VALUE!</v>
      </c>
    </row>
    <row r="8" spans="1:105" s="143" customFormat="1" x14ac:dyDescent="0.3">
      <c r="A8" s="158">
        <f t="shared" si="30"/>
        <v>3</v>
      </c>
      <c r="B8" s="158">
        <f t="shared" si="31"/>
        <v>3</v>
      </c>
      <c r="C8" s="74" t="s">
        <v>1316</v>
      </c>
      <c r="D8" s="72" t="s">
        <v>1327</v>
      </c>
      <c r="E8" s="184" t="s">
        <v>472</v>
      </c>
      <c r="F8" s="158" t="s">
        <v>423</v>
      </c>
      <c r="G8" s="159" t="s">
        <v>395</v>
      </c>
      <c r="H8" s="157">
        <f t="shared" si="4"/>
        <v>32</v>
      </c>
      <c r="I8" s="157">
        <f t="shared" si="4"/>
        <v>10</v>
      </c>
      <c r="J8" s="157">
        <f t="shared" si="4"/>
        <v>0.73229999999999995</v>
      </c>
      <c r="K8" s="157">
        <f t="shared" si="4"/>
        <v>0.50463996241043108</v>
      </c>
      <c r="L8" s="157" t="str">
        <f t="shared" si="4"/>
        <v>All Modes</v>
      </c>
      <c r="M8" s="157">
        <f t="shared" si="4"/>
        <v>1074</v>
      </c>
      <c r="N8" s="240">
        <f t="shared" si="4"/>
        <v>6.3</v>
      </c>
      <c r="O8" s="240">
        <f t="shared" si="4"/>
        <v>1501.47</v>
      </c>
      <c r="P8" s="240">
        <f t="shared" si="4"/>
        <v>5666.15</v>
      </c>
      <c r="Q8" s="240">
        <f t="shared" si="4"/>
        <v>2089.96</v>
      </c>
      <c r="R8" s="240">
        <f t="shared" si="4"/>
        <v>2128.25</v>
      </c>
      <c r="S8" s="242">
        <f t="shared" si="5"/>
        <v>0.3</v>
      </c>
      <c r="T8" s="242">
        <f t="shared" si="6"/>
        <v>6</v>
      </c>
      <c r="U8" s="242">
        <f t="shared" si="6"/>
        <v>250</v>
      </c>
      <c r="V8" s="163"/>
      <c r="W8" s="158" t="str">
        <f t="shared" ref="W8:W18" si="94">IF(F8="OREDA","Gamma","Exponential")</f>
        <v>Gamma</v>
      </c>
      <c r="X8" s="160">
        <f t="shared" ref="X8:X18" si="95">IF(W8="Gamma",BD8,1/R8*1000000)</f>
        <v>2.5205649485580737</v>
      </c>
      <c r="Y8" s="160" t="e">
        <f t="shared" ref="Y8:Y18" si="96">VLOOKUP(C8,Export_Library,3,0)</f>
        <v>#REF!</v>
      </c>
      <c r="Z8" s="160">
        <f t="shared" ref="Z8:Z18" si="97">IF(W8="Gamma",BF8,0)</f>
        <v>264.23202201322209</v>
      </c>
      <c r="AA8" s="160" t="e">
        <f t="shared" ref="AA8:AA18" si="98">VLOOKUP(C8,Export_Library,4,0)</f>
        <v>#REF!</v>
      </c>
      <c r="AB8" s="160">
        <v>0</v>
      </c>
      <c r="AC8" s="160" t="e">
        <f t="shared" ref="AC8:AC18" si="99">VLOOKUP(C8,Export_Library,5,0)</f>
        <v>#REF!</v>
      </c>
      <c r="AD8" s="160">
        <f t="shared" ref="AD8:AD18" si="100">IF(W8="Gamma",BG8,-X8*LN(1-0.05))</f>
        <v>153.99786252019931</v>
      </c>
      <c r="AE8" s="160">
        <f t="shared" ref="AE8:AE18" si="101">IF(W8="Gamma",BI8,-X8*LN(1-0.5))</f>
        <v>580.31333862915858</v>
      </c>
      <c r="AF8" s="160">
        <f t="shared" ref="AF8:AF18" si="102">IF(W8="Gamma",BJ8,-X8*LN(1-0.95))</f>
        <v>1470.8554786636098</v>
      </c>
      <c r="AG8" s="160">
        <f t="shared" ref="AG8:AG18" si="103">IF(W8="Gamma",BH8,X8)</f>
        <v>666.01397297315293</v>
      </c>
      <c r="AH8" s="160">
        <f t="shared" ref="AH8:AH18" si="104">IF(W8="Gamma",BK8,X8)</f>
        <v>419.50234655810408</v>
      </c>
      <c r="AI8" s="160">
        <f t="shared" ref="AI8:AI18" si="105">AH8^2</f>
        <v>175982.21876775566</v>
      </c>
      <c r="AJ8" s="158" t="str">
        <f t="shared" ref="AJ8:AJ18" si="106">IF(ISNUMBER(V8),"Exponential","Gamma")</f>
        <v>Gamma</v>
      </c>
      <c r="AK8" s="161">
        <f t="shared" ref="AK8:AK18" si="107">IF(AJ8="Gamma",CE8,V8)</f>
        <v>0.8163894615778603</v>
      </c>
      <c r="AL8" s="161" t="e">
        <f t="shared" ref="AL8:AL18" si="108">VLOOKUP(C8,Export_Library,7,0)</f>
        <v>#REF!</v>
      </c>
      <c r="AM8" s="161">
        <f t="shared" ref="AM8:AM18" si="109">IF(AJ8="Gamma",CG8,0)</f>
        <v>7.3494334289955452</v>
      </c>
      <c r="AN8" s="161" t="e">
        <f t="shared" ref="AN8:AN18" si="110">VLOOKUP(C8,Export_Library,8,0)</f>
        <v>#REF!</v>
      </c>
      <c r="AO8" s="162">
        <v>0</v>
      </c>
      <c r="AP8" s="162" t="e">
        <f t="shared" ref="AP8:AP18" si="111">VLOOKUP(C8,Export_Library,9,0)</f>
        <v>#REF!</v>
      </c>
      <c r="AQ8" s="163">
        <f t="shared" ref="AQ8:AQ18" si="112">IF(AJ8="Gamma",CH8,-AK8*LN(1-0.05))</f>
        <v>0.24384904146793443</v>
      </c>
      <c r="AR8" s="163">
        <f t="shared" ref="AR8:AR18" si="113">IF(AJ8="Gamma",CJ8,-AK8*LN(1-0.5))</f>
        <v>3.8374335615350796</v>
      </c>
      <c r="AS8" s="163">
        <f t="shared" ref="AS8:AS18" si="114">IF(AJ8="Gamma",CK8,-AK8*LN(1-0.95))</f>
        <v>19.11564575970564</v>
      </c>
      <c r="AT8" s="163">
        <f t="shared" ref="AT8:AT18" si="115">IF(AJ8="Gamma",CI8,AK8)</f>
        <v>6</v>
      </c>
      <c r="AU8" s="163">
        <f t="shared" ref="AU8:AU18" si="116">IF(AJ8="Gamma",CL8,AK8)</f>
        <v>6.6405271307309084</v>
      </c>
      <c r="AV8" s="163">
        <f t="shared" ref="AV8:AV18" si="117">AU8^2</f>
        <v>44.096600573973269</v>
      </c>
      <c r="AW8" s="252"/>
      <c r="BA8" s="67">
        <f t="shared" ref="BA8:BA18" si="118">1000000/P8</f>
        <v>176.48667966785209</v>
      </c>
      <c r="BB8" s="68">
        <f t="shared" ref="BB8:BB18" si="119">1000000/O8</f>
        <v>666.01397297315293</v>
      </c>
      <c r="BC8" s="68">
        <f t="shared" ref="BC8:BC18" si="120">1000000/N8</f>
        <v>158730.15873015873</v>
      </c>
      <c r="BD8" s="42">
        <f t="shared" ref="BD8:BD18" si="121">BW8/2</f>
        <v>2.5205649485580737</v>
      </c>
      <c r="BE8" s="42">
        <f t="shared" ref="BE8:BE18" si="122">BD8/BB8</f>
        <v>3.7845526533114913E-3</v>
      </c>
      <c r="BF8" s="42">
        <f t="shared" ref="BF8:BF18" si="123">1/BE8</f>
        <v>264.23202201322209</v>
      </c>
      <c r="BG8" s="69">
        <f t="shared" ref="BG8:BG18" si="124">1/2/BE8*BX8</f>
        <v>153.99786252019931</v>
      </c>
      <c r="BH8" s="69">
        <f t="shared" ref="BH8:BH18" si="125">BD8/BE8</f>
        <v>666.01397297315293</v>
      </c>
      <c r="BI8" s="69">
        <f t="shared" ref="BI8:BI18" si="126">1/2/BE8*BY8</f>
        <v>580.31333862915858</v>
      </c>
      <c r="BJ8" s="69">
        <f t="shared" ref="BJ8:BJ18" si="127">1/2/BE8*BZ8</f>
        <v>1470.8554786636098</v>
      </c>
      <c r="BK8" s="70">
        <f t="shared" ref="BK8:BK18" si="128">SQRT(BH8/BE8)</f>
        <v>419.50234655810408</v>
      </c>
      <c r="BL8" s="71">
        <f t="shared" ref="BL8:BL18" si="129">BA8/BB8</f>
        <v>0.26498945492088988</v>
      </c>
      <c r="BM8" s="46">
        <v>5</v>
      </c>
      <c r="BN8" s="47">
        <v>1.1454762275641139</v>
      </c>
      <c r="BO8" s="47">
        <v>4.3514602221082166</v>
      </c>
      <c r="BP8" s="47">
        <v>11.070497754622684</v>
      </c>
      <c r="BQ8" s="47">
        <f t="shared" ref="BQ8:BQ18" si="130">BN8/BO8</f>
        <v>0.26323950331531426</v>
      </c>
      <c r="BR8" s="46">
        <f t="shared" ref="BR8:BR18" si="131">BM8+1</f>
        <v>6</v>
      </c>
      <c r="BS8" s="47">
        <v>1.6353828954369192</v>
      </c>
      <c r="BT8" s="47">
        <v>5.3481208434097312</v>
      </c>
      <c r="BU8" s="47">
        <v>12.591587244072656</v>
      </c>
      <c r="BV8" s="47">
        <f t="shared" ref="BV8:BV18" si="132">BS8/BT8</f>
        <v>0.30578645160049706</v>
      </c>
      <c r="BW8" s="47">
        <f t="shared" ref="BW8:BW18" si="133">(BL8-BQ8)/(BV8-BQ8)*(BR8-BM8)+BM8</f>
        <v>5.0411298971161473</v>
      </c>
      <c r="BX8" s="47">
        <f t="shared" ref="BX8:BX18" si="134">(BL8-BQ8)/(BV8-BQ8)*(BS8-BN8)+BN8</f>
        <v>1.165626038410237</v>
      </c>
      <c r="BY8" s="47">
        <f t="shared" ref="BY8:BY18" si="135">(BL8-BQ8)/(BV8-BQ8)*(BT8-BO8)+BO8</f>
        <v>4.3924527709220635</v>
      </c>
      <c r="BZ8" s="48">
        <f t="shared" ref="BZ8:BZ18" si="136">(BL8-BQ8)/(BV8-BQ8)*(BU8-BP8)+BP8</f>
        <v>11.133060008828215</v>
      </c>
      <c r="CB8" s="39">
        <f t="shared" ref="CB8:CB18" si="137">S8</f>
        <v>0.3</v>
      </c>
      <c r="CC8" s="40">
        <f t="shared" ref="CC8:CC18" si="138">T8</f>
        <v>6</v>
      </c>
      <c r="CD8" s="40">
        <f t="shared" ref="CD8:CD18" si="139">U8</f>
        <v>250</v>
      </c>
      <c r="CE8" s="120">
        <f t="shared" ref="CE8:CE18" si="140">CX8/2</f>
        <v>0.8163894615778603</v>
      </c>
      <c r="CF8" s="42">
        <f t="shared" ref="CF8:CF18" si="141">CE8/CC8</f>
        <v>0.13606491026297671</v>
      </c>
      <c r="CG8" s="41">
        <f t="shared" ref="CG8:CG18" si="142">1/CF8</f>
        <v>7.3494334289955452</v>
      </c>
      <c r="CH8" s="43">
        <f t="shared" ref="CH8:CH18" si="143">1/2/CF8*CY8</f>
        <v>0.24384904146793443</v>
      </c>
      <c r="CI8" s="43">
        <f t="shared" ref="CI8:CI18" si="144">CE8/CF8</f>
        <v>6</v>
      </c>
      <c r="CJ8" s="43">
        <f t="shared" ref="CJ8:CJ18" si="145">1/2/CF8*CZ8</f>
        <v>3.8374335615350796</v>
      </c>
      <c r="CK8" s="43">
        <f t="shared" ref="CK8:CK18" si="146">1/2/CF8*DA8</f>
        <v>19.11564575970564</v>
      </c>
      <c r="CL8" s="44">
        <f t="shared" ref="CL8:CL18" si="147">SQRT(CI8/CF8)</f>
        <v>6.6405271307309084</v>
      </c>
      <c r="CM8" s="45">
        <f t="shared" ref="CM8:CM18" si="148">CB8/CC8</f>
        <v>4.9999999999999996E-2</v>
      </c>
      <c r="CN8" s="46">
        <v>1</v>
      </c>
      <c r="CO8" s="47">
        <v>3.9321400005324098E-3</v>
      </c>
      <c r="CP8" s="47">
        <v>0.4549364250484666</v>
      </c>
      <c r="CQ8" s="47">
        <v>3.841459149489757</v>
      </c>
      <c r="CR8" s="47">
        <f t="shared" ref="CR8:CR18" si="149">CO8/CP8</f>
        <v>8.6432736180961992E-3</v>
      </c>
      <c r="CS8" s="46">
        <f t="shared" ref="CS8:CS18" si="150">CN8+1</f>
        <v>2</v>
      </c>
      <c r="CT8" s="47">
        <v>0.10258658882167279</v>
      </c>
      <c r="CU8" s="47">
        <v>1.3862943760896287</v>
      </c>
      <c r="CV8" s="47">
        <v>5.9914645471914136</v>
      </c>
      <c r="CW8" s="47">
        <f t="shared" ref="CW8:CW18" si="151">CT8/CU8</f>
        <v>7.4000580678284605E-2</v>
      </c>
      <c r="CX8" s="47">
        <f t="shared" ref="CX8:CX18" si="152">(CM8-CR8)/(CW8-CR8)*(CS8-CN8)+CN8</f>
        <v>1.6327789231557206</v>
      </c>
      <c r="CY8" s="47">
        <f t="shared" ref="CY8:CY18" si="153">(CM8-CR8)/(CW8-CR8)*(CT8-CO8)+CO8</f>
        <v>6.6358595890094768E-2</v>
      </c>
      <c r="CZ8" s="47">
        <f t="shared" ref="CZ8:CZ18" si="154">(CM8-CR8)/(CW8-CR8)*(CU8-CP8)+CP8</f>
        <v>1.0442801063808114</v>
      </c>
      <c r="DA8" s="48">
        <f t="shared" ref="DA8:DA18" si="155">(CM8-CR8)/(CW8-CR8)*(CV8-CQ8)+CQ8</f>
        <v>5.2019372498263978</v>
      </c>
    </row>
    <row r="9" spans="1:105" s="143" customFormat="1" x14ac:dyDescent="0.3">
      <c r="A9" s="158">
        <f t="shared" si="30"/>
        <v>4</v>
      </c>
      <c r="B9" s="158">
        <f t="shared" si="31"/>
        <v>4</v>
      </c>
      <c r="C9" s="74" t="s">
        <v>1317</v>
      </c>
      <c r="D9" s="72" t="s">
        <v>1328</v>
      </c>
      <c r="E9" s="250" t="s">
        <v>1286</v>
      </c>
      <c r="F9" s="158" t="s">
        <v>423</v>
      </c>
      <c r="G9" s="159" t="s">
        <v>323</v>
      </c>
      <c r="H9" s="157">
        <f t="shared" si="4"/>
        <v>29</v>
      </c>
      <c r="I9" s="157">
        <f t="shared" si="4"/>
        <v>6</v>
      </c>
      <c r="J9" s="157">
        <f t="shared" si="4"/>
        <v>0.82969999999999999</v>
      </c>
      <c r="K9" s="157">
        <f t="shared" si="4"/>
        <v>0.60470000000000002</v>
      </c>
      <c r="L9" s="157" t="str">
        <f t="shared" si="4"/>
        <v>All Modes</v>
      </c>
      <c r="M9" s="157">
        <f t="shared" si="4"/>
        <v>59</v>
      </c>
      <c r="N9" s="240">
        <f t="shared" si="4"/>
        <v>31.73</v>
      </c>
      <c r="O9" s="240">
        <f t="shared" si="4"/>
        <v>170.53</v>
      </c>
      <c r="P9" s="240">
        <f t="shared" si="4"/>
        <v>400.17</v>
      </c>
      <c r="Q9" s="240">
        <f t="shared" si="4"/>
        <v>118.6</v>
      </c>
      <c r="R9" s="240">
        <f t="shared" si="4"/>
        <v>97.57</v>
      </c>
      <c r="S9" s="242">
        <f t="shared" si="5"/>
        <v>0.3</v>
      </c>
      <c r="T9" s="242">
        <f t="shared" si="6"/>
        <v>8.1</v>
      </c>
      <c r="U9" s="242">
        <f t="shared" si="6"/>
        <v>50</v>
      </c>
      <c r="V9" s="163"/>
      <c r="W9" s="158" t="str">
        <f t="shared" si="94"/>
        <v>Gamma</v>
      </c>
      <c r="X9" s="160">
        <f t="shared" si="95"/>
        <v>5.10561961824438</v>
      </c>
      <c r="Y9" s="160" t="e">
        <f t="shared" si="96"/>
        <v>#REF!</v>
      </c>
      <c r="Z9" s="160">
        <f t="shared" si="97"/>
        <v>1148.5522378167577</v>
      </c>
      <c r="AA9" s="160" t="e">
        <f t="shared" si="98"/>
        <v>#REF!</v>
      </c>
      <c r="AB9" s="160">
        <v>0</v>
      </c>
      <c r="AC9" s="160" t="e">
        <f t="shared" si="99"/>
        <v>#REF!</v>
      </c>
      <c r="AD9" s="160">
        <f t="shared" si="100"/>
        <v>2339.7923662956737</v>
      </c>
      <c r="AE9" s="160">
        <f t="shared" si="101"/>
        <v>5485.9932121709298</v>
      </c>
      <c r="AF9" s="160">
        <f t="shared" si="102"/>
        <v>10679.258434534888</v>
      </c>
      <c r="AG9" s="160">
        <f t="shared" si="103"/>
        <v>5864.0708379757225</v>
      </c>
      <c r="AH9" s="160">
        <f t="shared" si="104"/>
        <v>2595.2247848063193</v>
      </c>
      <c r="AI9" s="160">
        <f t="shared" si="105"/>
        <v>6735191.6836730065</v>
      </c>
      <c r="AJ9" s="158" t="str">
        <f t="shared" si="106"/>
        <v>Gamma</v>
      </c>
      <c r="AK9" s="161">
        <f t="shared" si="107"/>
        <v>0.71721950227227571</v>
      </c>
      <c r="AL9" s="161" t="e">
        <f t="shared" si="108"/>
        <v>#REF!</v>
      </c>
      <c r="AM9" s="161">
        <f t="shared" si="109"/>
        <v>11.293613704504404</v>
      </c>
      <c r="AN9" s="161" t="e">
        <f t="shared" si="110"/>
        <v>#REF!</v>
      </c>
      <c r="AO9" s="162">
        <v>0</v>
      </c>
      <c r="AP9" s="162" t="e">
        <f t="shared" si="111"/>
        <v>#REF!</v>
      </c>
      <c r="AQ9" s="163">
        <f t="shared" si="112"/>
        <v>0.26422245294187885</v>
      </c>
      <c r="AR9" s="163">
        <f t="shared" si="113"/>
        <v>4.8537390658974093</v>
      </c>
      <c r="AS9" s="163">
        <f t="shared" si="114"/>
        <v>26.966356357248159</v>
      </c>
      <c r="AT9" s="163">
        <f t="shared" si="115"/>
        <v>8.1</v>
      </c>
      <c r="AU9" s="163">
        <f t="shared" si="116"/>
        <v>9.5644273747300552</v>
      </c>
      <c r="AV9" s="163">
        <f t="shared" si="117"/>
        <v>91.478271006485656</v>
      </c>
      <c r="AW9" s="252"/>
      <c r="BA9" s="67">
        <f t="shared" si="118"/>
        <v>2498.9379513706672</v>
      </c>
      <c r="BB9" s="68">
        <f t="shared" si="119"/>
        <v>5864.0708379757225</v>
      </c>
      <c r="BC9" s="68">
        <f t="shared" si="120"/>
        <v>31515.915537346358</v>
      </c>
      <c r="BD9" s="42">
        <f t="shared" si="121"/>
        <v>5.10561961824438</v>
      </c>
      <c r="BE9" s="42">
        <f t="shared" si="122"/>
        <v>8.7066131349921411E-4</v>
      </c>
      <c r="BF9" s="42">
        <f t="shared" si="123"/>
        <v>1148.5522378167577</v>
      </c>
      <c r="BG9" s="69">
        <f t="shared" si="124"/>
        <v>2339.7923662956737</v>
      </c>
      <c r="BH9" s="69">
        <f t="shared" si="125"/>
        <v>5864.0708379757225</v>
      </c>
      <c r="BI9" s="69">
        <f t="shared" si="126"/>
        <v>5485.9932121709298</v>
      </c>
      <c r="BJ9" s="69">
        <f t="shared" si="127"/>
        <v>10679.258434534888</v>
      </c>
      <c r="BK9" s="70">
        <f t="shared" si="128"/>
        <v>2595.2247848063193</v>
      </c>
      <c r="BL9" s="71">
        <f t="shared" si="129"/>
        <v>0.42614388884723992</v>
      </c>
      <c r="BM9" s="46">
        <v>10</v>
      </c>
      <c r="BN9" s="47">
        <v>3.9402991447958193</v>
      </c>
      <c r="BO9" s="47">
        <v>9.3418180498453118</v>
      </c>
      <c r="BP9" s="47">
        <v>18.307038053808746</v>
      </c>
      <c r="BQ9" s="47">
        <f t="shared" si="130"/>
        <v>0.4217914675464125</v>
      </c>
      <c r="BR9" s="46">
        <f t="shared" si="131"/>
        <v>11</v>
      </c>
      <c r="BS9" s="47">
        <v>4.5748131079257845</v>
      </c>
      <c r="BT9" s="47">
        <v>10.340998247502135</v>
      </c>
      <c r="BU9" s="47">
        <v>19.675137572697327</v>
      </c>
      <c r="BV9" s="47">
        <f t="shared" si="132"/>
        <v>0.44239569511877919</v>
      </c>
      <c r="BW9" s="47">
        <f t="shared" si="133"/>
        <v>10.21123923648876</v>
      </c>
      <c r="BX9" s="47">
        <f t="shared" si="134"/>
        <v>4.0743333899088512</v>
      </c>
      <c r="BY9" s="47">
        <f t="shared" si="135"/>
        <v>9.5528841119130288</v>
      </c>
      <c r="BZ9" s="48">
        <f t="shared" si="136"/>
        <v>18.596034351619412</v>
      </c>
      <c r="CB9" s="39">
        <f t="shared" si="137"/>
        <v>0.3</v>
      </c>
      <c r="CC9" s="40">
        <f t="shared" si="138"/>
        <v>8.1</v>
      </c>
      <c r="CD9" s="40">
        <f t="shared" si="139"/>
        <v>50</v>
      </c>
      <c r="CE9" s="120">
        <f t="shared" si="140"/>
        <v>0.71721950227227571</v>
      </c>
      <c r="CF9" s="42">
        <f t="shared" si="141"/>
        <v>8.8545617564478485E-2</v>
      </c>
      <c r="CG9" s="41">
        <f t="shared" si="142"/>
        <v>11.293613704504404</v>
      </c>
      <c r="CH9" s="43">
        <f t="shared" si="143"/>
        <v>0.26422245294187885</v>
      </c>
      <c r="CI9" s="43">
        <f t="shared" si="144"/>
        <v>8.1</v>
      </c>
      <c r="CJ9" s="43">
        <f t="shared" si="145"/>
        <v>4.8537390658974093</v>
      </c>
      <c r="CK9" s="43">
        <f t="shared" si="146"/>
        <v>26.966356357248159</v>
      </c>
      <c r="CL9" s="44">
        <f t="shared" si="147"/>
        <v>9.5644273747300552</v>
      </c>
      <c r="CM9" s="45">
        <f t="shared" si="148"/>
        <v>3.7037037037037035E-2</v>
      </c>
      <c r="CN9" s="46">
        <v>1</v>
      </c>
      <c r="CO9" s="47">
        <v>3.9321400005324098E-3</v>
      </c>
      <c r="CP9" s="47">
        <v>0.4549364250484666</v>
      </c>
      <c r="CQ9" s="47">
        <v>3.841459149489757</v>
      </c>
      <c r="CR9" s="47">
        <f t="shared" si="149"/>
        <v>8.6432736180961992E-3</v>
      </c>
      <c r="CS9" s="46">
        <f t="shared" si="150"/>
        <v>2</v>
      </c>
      <c r="CT9" s="47">
        <v>0.10258658882167279</v>
      </c>
      <c r="CU9" s="47">
        <v>1.3862943760896287</v>
      </c>
      <c r="CV9" s="47">
        <v>5.9914645471914136</v>
      </c>
      <c r="CW9" s="47">
        <f t="shared" si="151"/>
        <v>7.4000580678284605E-2</v>
      </c>
      <c r="CX9" s="47">
        <f t="shared" si="152"/>
        <v>1.4344390045445514</v>
      </c>
      <c r="CY9" s="47">
        <f t="shared" si="153"/>
        <v>4.6791480540280032E-2</v>
      </c>
      <c r="CZ9" s="47">
        <f t="shared" si="154"/>
        <v>0.85955464617344202</v>
      </c>
      <c r="DA9" s="48">
        <f t="shared" si="155"/>
        <v>4.7755053542326769</v>
      </c>
    </row>
    <row r="10" spans="1:105" x14ac:dyDescent="0.3">
      <c r="A10" s="158">
        <f t="shared" si="30"/>
        <v>5</v>
      </c>
      <c r="B10" s="158">
        <f t="shared" si="31"/>
        <v>5</v>
      </c>
      <c r="C10" s="74" t="s">
        <v>1318</v>
      </c>
      <c r="D10" s="72" t="s">
        <v>1329</v>
      </c>
      <c r="E10" s="250" t="s">
        <v>1292</v>
      </c>
      <c r="F10" s="158" t="s">
        <v>1288</v>
      </c>
      <c r="G10" s="159" t="s">
        <v>1293</v>
      </c>
      <c r="H10" s="157" t="e">
        <f>VLOOKUP($G10,OREDA2009,H$3,0)</f>
        <v>#N/A</v>
      </c>
      <c r="I10" s="157" t="e">
        <f>VLOOKUP($G10,OREDA2009,I$3,0)</f>
        <v>#N/A</v>
      </c>
      <c r="J10" s="223">
        <f>437.4*8760/1000000</f>
        <v>3.8316240000000001</v>
      </c>
      <c r="K10" s="157" t="e">
        <f>VLOOKUP($G10,OREDA2009,K$3,0)</f>
        <v>#N/A</v>
      </c>
      <c r="L10" s="157" t="e">
        <f>VLOOKUP($G10,OREDA2009,L$3,0)</f>
        <v>#N/A</v>
      </c>
      <c r="M10" s="222">
        <v>1</v>
      </c>
      <c r="N10" s="240" t="e">
        <f>VLOOKUP($G10,OREDA2009,N$3,0)</f>
        <v>#N/A</v>
      </c>
      <c r="O10" s="240" t="e">
        <f>VLOOKUP($G10,OREDA2009,O$3,0)</f>
        <v>#N/A</v>
      </c>
      <c r="P10" s="240" t="e">
        <f>VLOOKUP($G10,OREDA2009,P$3,0)</f>
        <v>#N/A</v>
      </c>
      <c r="Q10" s="240" t="e">
        <f>VLOOKUP($G10,OREDA2009,Q$3,0)</f>
        <v>#N/A</v>
      </c>
      <c r="R10" s="243">
        <f>M10/J10</f>
        <v>0.26098594225320648</v>
      </c>
      <c r="S10" s="242" t="e">
        <f t="shared" si="5"/>
        <v>#N/A</v>
      </c>
      <c r="T10" s="242" t="e">
        <f t="shared" si="6"/>
        <v>#N/A</v>
      </c>
      <c r="U10" s="242" t="e">
        <f t="shared" si="6"/>
        <v>#N/A</v>
      </c>
      <c r="V10" s="226">
        <v>5</v>
      </c>
      <c r="W10" s="286" t="str">
        <f t="shared" si="94"/>
        <v>Exponential</v>
      </c>
      <c r="X10" s="160">
        <f t="shared" si="95"/>
        <v>3831623.9999999995</v>
      </c>
      <c r="Y10" s="160" t="e">
        <f t="shared" si="96"/>
        <v>#REF!</v>
      </c>
      <c r="Z10" s="160">
        <f t="shared" si="97"/>
        <v>0</v>
      </c>
      <c r="AA10" s="160" t="e">
        <f t="shared" si="98"/>
        <v>#REF!</v>
      </c>
      <c r="AB10" s="160">
        <v>0</v>
      </c>
      <c r="AC10" s="160" t="e">
        <f t="shared" si="99"/>
        <v>#REF!</v>
      </c>
      <c r="AD10" s="160">
        <f t="shared" si="100"/>
        <v>196536.61781440408</v>
      </c>
      <c r="AE10" s="160">
        <f t="shared" si="101"/>
        <v>2655879.3725658194</v>
      </c>
      <c r="AF10" s="160">
        <f t="shared" si="102"/>
        <v>11478519.676924031</v>
      </c>
      <c r="AG10" s="160">
        <f t="shared" si="103"/>
        <v>3831623.9999999995</v>
      </c>
      <c r="AH10" s="160">
        <f t="shared" si="104"/>
        <v>3831623.9999999995</v>
      </c>
      <c r="AI10" s="160">
        <f t="shared" si="105"/>
        <v>14681342477375.996</v>
      </c>
      <c r="AJ10" s="158" t="str">
        <f t="shared" si="106"/>
        <v>Exponential</v>
      </c>
      <c r="AK10" s="161">
        <f t="shared" si="107"/>
        <v>5</v>
      </c>
      <c r="AL10" s="161" t="e">
        <f t="shared" si="108"/>
        <v>#REF!</v>
      </c>
      <c r="AM10" s="161">
        <f t="shared" si="109"/>
        <v>0</v>
      </c>
      <c r="AN10" s="161" t="e">
        <f t="shared" si="110"/>
        <v>#REF!</v>
      </c>
      <c r="AO10" s="162">
        <v>0</v>
      </c>
      <c r="AP10" s="162" t="e">
        <f t="shared" si="111"/>
        <v>#REF!</v>
      </c>
      <c r="AQ10" s="163">
        <f t="shared" si="112"/>
        <v>0.2564664719377529</v>
      </c>
      <c r="AR10" s="163">
        <f t="shared" si="113"/>
        <v>3.4657359027997265</v>
      </c>
      <c r="AS10" s="163">
        <f t="shared" si="114"/>
        <v>14.97866136776995</v>
      </c>
      <c r="AT10" s="163">
        <f t="shared" si="115"/>
        <v>5</v>
      </c>
      <c r="AU10" s="163">
        <f t="shared" si="116"/>
        <v>5</v>
      </c>
      <c r="AV10" s="163">
        <f t="shared" si="117"/>
        <v>25</v>
      </c>
      <c r="AW10" s="72"/>
      <c r="BA10" s="67" t="e">
        <f t="shared" si="118"/>
        <v>#N/A</v>
      </c>
      <c r="BB10" s="68" t="e">
        <f t="shared" si="119"/>
        <v>#N/A</v>
      </c>
      <c r="BC10" s="68" t="e">
        <f t="shared" si="120"/>
        <v>#N/A</v>
      </c>
      <c r="BD10" s="42" t="e">
        <f t="shared" si="121"/>
        <v>#N/A</v>
      </c>
      <c r="BE10" s="42" t="e">
        <f t="shared" si="122"/>
        <v>#N/A</v>
      </c>
      <c r="BF10" s="42" t="e">
        <f t="shared" si="123"/>
        <v>#N/A</v>
      </c>
      <c r="BG10" s="69" t="e">
        <f t="shared" si="124"/>
        <v>#N/A</v>
      </c>
      <c r="BH10" s="69" t="e">
        <f t="shared" si="125"/>
        <v>#N/A</v>
      </c>
      <c r="BI10" s="69" t="e">
        <f t="shared" si="126"/>
        <v>#N/A</v>
      </c>
      <c r="BJ10" s="69" t="e">
        <f t="shared" si="127"/>
        <v>#N/A</v>
      </c>
      <c r="BK10" s="70" t="e">
        <f t="shared" si="128"/>
        <v>#N/A</v>
      </c>
      <c r="BL10" s="71" t="e">
        <f t="shared" si="129"/>
        <v>#N/A</v>
      </c>
      <c r="BM10" s="46" t="e">
        <v>#N/A</v>
      </c>
      <c r="BN10" s="47" t="e">
        <v>#N/A</v>
      </c>
      <c r="BO10" s="47" t="e">
        <v>#N/A</v>
      </c>
      <c r="BP10" s="47" t="e">
        <v>#N/A</v>
      </c>
      <c r="BQ10" s="47" t="e">
        <f t="shared" si="130"/>
        <v>#N/A</v>
      </c>
      <c r="BR10" s="46" t="e">
        <f t="shared" si="131"/>
        <v>#N/A</v>
      </c>
      <c r="BS10" s="47" t="e">
        <v>#N/A</v>
      </c>
      <c r="BT10" s="47" t="e">
        <v>#N/A</v>
      </c>
      <c r="BU10" s="47" t="e">
        <v>#N/A</v>
      </c>
      <c r="BV10" s="47" t="e">
        <f t="shared" si="132"/>
        <v>#N/A</v>
      </c>
      <c r="BW10" s="47" t="e">
        <f t="shared" si="133"/>
        <v>#N/A</v>
      </c>
      <c r="BX10" s="47" t="e">
        <f t="shared" si="134"/>
        <v>#N/A</v>
      </c>
      <c r="BY10" s="47" t="e">
        <f t="shared" si="135"/>
        <v>#N/A</v>
      </c>
      <c r="BZ10" s="48" t="e">
        <f t="shared" si="136"/>
        <v>#N/A</v>
      </c>
      <c r="CB10" s="39" t="e">
        <f t="shared" si="137"/>
        <v>#N/A</v>
      </c>
      <c r="CC10" s="40" t="e">
        <f t="shared" si="138"/>
        <v>#N/A</v>
      </c>
      <c r="CD10" s="40" t="e">
        <f t="shared" si="139"/>
        <v>#N/A</v>
      </c>
      <c r="CE10" s="120" t="e">
        <f t="shared" si="140"/>
        <v>#N/A</v>
      </c>
      <c r="CF10" s="42" t="e">
        <f t="shared" si="141"/>
        <v>#N/A</v>
      </c>
      <c r="CG10" s="41" t="e">
        <f t="shared" si="142"/>
        <v>#N/A</v>
      </c>
      <c r="CH10" s="43" t="e">
        <f t="shared" si="143"/>
        <v>#N/A</v>
      </c>
      <c r="CI10" s="43" t="e">
        <f t="shared" si="144"/>
        <v>#N/A</v>
      </c>
      <c r="CJ10" s="43" t="e">
        <f t="shared" si="145"/>
        <v>#N/A</v>
      </c>
      <c r="CK10" s="43" t="e">
        <f t="shared" si="146"/>
        <v>#N/A</v>
      </c>
      <c r="CL10" s="44" t="e">
        <f t="shared" si="147"/>
        <v>#N/A</v>
      </c>
      <c r="CM10" s="45" t="e">
        <f t="shared" si="148"/>
        <v>#N/A</v>
      </c>
      <c r="CN10" s="46" t="e">
        <v>#N/A</v>
      </c>
      <c r="CO10" s="47" t="e">
        <v>#N/A</v>
      </c>
      <c r="CP10" s="47" t="e">
        <v>#N/A</v>
      </c>
      <c r="CQ10" s="47" t="e">
        <v>#N/A</v>
      </c>
      <c r="CR10" s="47" t="e">
        <f t="shared" si="149"/>
        <v>#N/A</v>
      </c>
      <c r="CS10" s="46" t="e">
        <f t="shared" si="150"/>
        <v>#N/A</v>
      </c>
      <c r="CT10" s="47" t="e">
        <v>#N/A</v>
      </c>
      <c r="CU10" s="47" t="e">
        <v>#N/A</v>
      </c>
      <c r="CV10" s="47" t="e">
        <v>#N/A</v>
      </c>
      <c r="CW10" s="47" t="e">
        <f t="shared" si="151"/>
        <v>#N/A</v>
      </c>
      <c r="CX10" s="47" t="e">
        <f t="shared" si="152"/>
        <v>#N/A</v>
      </c>
      <c r="CY10" s="47" t="e">
        <f t="shared" si="153"/>
        <v>#N/A</v>
      </c>
      <c r="CZ10" s="47" t="e">
        <f t="shared" si="154"/>
        <v>#N/A</v>
      </c>
      <c r="DA10" s="48" t="e">
        <f t="shared" si="155"/>
        <v>#N/A</v>
      </c>
    </row>
    <row r="11" spans="1:105" x14ac:dyDescent="0.3">
      <c r="A11" s="148">
        <f t="shared" si="30"/>
        <v>6</v>
      </c>
      <c r="B11" s="149">
        <f t="shared" si="31"/>
        <v>6</v>
      </c>
      <c r="C11" s="74" t="s">
        <v>1319</v>
      </c>
      <c r="D11" s="72" t="s">
        <v>1330</v>
      </c>
      <c r="E11" s="196" t="s">
        <v>687</v>
      </c>
      <c r="F11" s="158" t="s">
        <v>423</v>
      </c>
      <c r="G11" s="159" t="s">
        <v>264</v>
      </c>
      <c r="H11" s="157">
        <f t="shared" ref="H11:R11" si="156">VLOOKUP($G11,OREDA2009,H$3,0)</f>
        <v>33</v>
      </c>
      <c r="I11" s="157">
        <f t="shared" si="156"/>
        <v>7</v>
      </c>
      <c r="J11" s="157">
        <f t="shared" si="156"/>
        <v>1.1348</v>
      </c>
      <c r="K11" s="157">
        <f t="shared" si="156"/>
        <v>1.0038</v>
      </c>
      <c r="L11" s="157" t="str">
        <f t="shared" si="156"/>
        <v>All Modes</v>
      </c>
      <c r="M11" s="157">
        <f t="shared" si="156"/>
        <v>265</v>
      </c>
      <c r="N11" s="240" t="str">
        <f t="shared" si="156"/>
        <v>3E -4</v>
      </c>
      <c r="O11" s="240">
        <f t="shared" si="156"/>
        <v>167.13</v>
      </c>
      <c r="P11" s="240">
        <f t="shared" si="156"/>
        <v>849.47</v>
      </c>
      <c r="Q11" s="240">
        <f t="shared" si="156"/>
        <v>366.39</v>
      </c>
      <c r="R11" s="240">
        <f t="shared" si="156"/>
        <v>263.99</v>
      </c>
      <c r="S11" s="242">
        <f t="shared" si="5"/>
        <v>0.3</v>
      </c>
      <c r="T11" s="242">
        <f t="shared" si="6"/>
        <v>5.5</v>
      </c>
      <c r="U11" s="242">
        <f t="shared" si="6"/>
        <v>147</v>
      </c>
      <c r="V11" s="163"/>
      <c r="W11" s="158" t="str">
        <f t="shared" si="94"/>
        <v>Gamma</v>
      </c>
      <c r="X11" s="160">
        <f t="shared" si="95"/>
        <v>1.8810984977857583</v>
      </c>
      <c r="Y11" s="160" t="e">
        <f t="shared" si="96"/>
        <v>#REF!</v>
      </c>
      <c r="Z11" s="160">
        <f t="shared" si="97"/>
        <v>3180.7830631360803</v>
      </c>
      <c r="AA11" s="160" t="e">
        <f t="shared" si="98"/>
        <v>#REF!</v>
      </c>
      <c r="AB11" s="160">
        <v>0</v>
      </c>
      <c r="AC11" s="160" t="e">
        <f t="shared" si="99"/>
        <v>#REF!</v>
      </c>
      <c r="AD11" s="160">
        <f t="shared" si="100"/>
        <v>994.60074864626085</v>
      </c>
      <c r="AE11" s="160">
        <f t="shared" si="101"/>
        <v>4963.7674832914554</v>
      </c>
      <c r="AF11" s="160">
        <f t="shared" si="102"/>
        <v>14456.475026133885</v>
      </c>
      <c r="AG11" s="160">
        <f t="shared" si="103"/>
        <v>5983.3662418476633</v>
      </c>
      <c r="AH11" s="160">
        <f t="shared" si="104"/>
        <v>4362.5439828853559</v>
      </c>
      <c r="AI11" s="160">
        <f t="shared" si="105"/>
        <v>19031790.002609223</v>
      </c>
      <c r="AJ11" s="158" t="str">
        <f t="shared" si="106"/>
        <v>Gamma</v>
      </c>
      <c r="AK11" s="161">
        <f t="shared" si="107"/>
        <v>0.85116334341228606</v>
      </c>
      <c r="AL11" s="161" t="e">
        <f t="shared" si="108"/>
        <v>#REF!</v>
      </c>
      <c r="AM11" s="161">
        <f t="shared" si="109"/>
        <v>6.4617444378545255</v>
      </c>
      <c r="AN11" s="161" t="e">
        <f t="shared" si="110"/>
        <v>#REF!</v>
      </c>
      <c r="AO11" s="162">
        <v>0</v>
      </c>
      <c r="AP11" s="162" t="e">
        <f t="shared" si="111"/>
        <v>#REF!</v>
      </c>
      <c r="AQ11" s="163">
        <f t="shared" si="112"/>
        <v>0.23656379243512107</v>
      </c>
      <c r="AR11" s="163">
        <f t="shared" si="113"/>
        <v>3.5832116578976594</v>
      </c>
      <c r="AS11" s="163">
        <f t="shared" si="114"/>
        <v>17.289900623611576</v>
      </c>
      <c r="AT11" s="163">
        <f t="shared" si="115"/>
        <v>5.5000000000000009</v>
      </c>
      <c r="AU11" s="163">
        <f t="shared" si="116"/>
        <v>5.9615094068700332</v>
      </c>
      <c r="AV11" s="163">
        <f t="shared" si="117"/>
        <v>35.539594408199896</v>
      </c>
      <c r="AW11" s="72"/>
      <c r="BA11" s="67">
        <f t="shared" si="118"/>
        <v>1177.2046099332524</v>
      </c>
      <c r="BB11" s="68">
        <f t="shared" si="119"/>
        <v>5983.3662418476633</v>
      </c>
      <c r="BC11" s="68" t="e">
        <f t="shared" si="120"/>
        <v>#VALUE!</v>
      </c>
      <c r="BD11" s="42">
        <f t="shared" si="121"/>
        <v>1.8810984977857583</v>
      </c>
      <c r="BE11" s="42">
        <f t="shared" si="122"/>
        <v>3.1438799193493378E-4</v>
      </c>
      <c r="BF11" s="42">
        <f t="shared" si="123"/>
        <v>3180.7830631360803</v>
      </c>
      <c r="BG11" s="69">
        <f t="shared" si="124"/>
        <v>994.60074864626085</v>
      </c>
      <c r="BH11" s="69">
        <f t="shared" si="125"/>
        <v>5983.3662418476633</v>
      </c>
      <c r="BI11" s="69">
        <f t="shared" si="126"/>
        <v>4963.7674832914554</v>
      </c>
      <c r="BJ11" s="69">
        <f t="shared" si="127"/>
        <v>14456.475026133885</v>
      </c>
      <c r="BK11" s="70">
        <f t="shared" si="128"/>
        <v>4362.5439828853559</v>
      </c>
      <c r="BL11" s="71">
        <f t="shared" si="129"/>
        <v>0.19674620645814447</v>
      </c>
      <c r="BM11" s="46">
        <v>3</v>
      </c>
      <c r="BN11" s="47">
        <v>0.35184631840544622</v>
      </c>
      <c r="BO11" s="47">
        <v>2.3659738927290714</v>
      </c>
      <c r="BP11" s="47">
        <v>7.81472776394987</v>
      </c>
      <c r="BQ11" s="47">
        <f t="shared" si="130"/>
        <v>0.14871098936751298</v>
      </c>
      <c r="BR11" s="46">
        <f t="shared" si="131"/>
        <v>4</v>
      </c>
      <c r="BS11" s="47">
        <v>0.71072302281597644</v>
      </c>
      <c r="BT11" s="47">
        <v>3.3566940013967228</v>
      </c>
      <c r="BU11" s="47">
        <v>9.487729036988851</v>
      </c>
      <c r="BV11" s="47">
        <f t="shared" si="132"/>
        <v>0.21173303927025938</v>
      </c>
      <c r="BW11" s="47">
        <f t="shared" si="133"/>
        <v>3.7621969955715167</v>
      </c>
      <c r="BX11" s="47">
        <f t="shared" si="134"/>
        <v>0.62538106428775952</v>
      </c>
      <c r="BY11" s="47">
        <f t="shared" si="135"/>
        <v>3.1210977830078415</v>
      </c>
      <c r="BZ11" s="48">
        <f t="shared" si="136"/>
        <v>9.0898843078475036</v>
      </c>
      <c r="CB11" s="39">
        <f t="shared" si="137"/>
        <v>0.3</v>
      </c>
      <c r="CC11" s="40">
        <f t="shared" si="138"/>
        <v>5.5</v>
      </c>
      <c r="CD11" s="40">
        <f t="shared" si="139"/>
        <v>147</v>
      </c>
      <c r="CE11" s="120">
        <f t="shared" si="140"/>
        <v>0.85116334341228606</v>
      </c>
      <c r="CF11" s="42">
        <f t="shared" si="141"/>
        <v>0.15475697152950654</v>
      </c>
      <c r="CG11" s="41">
        <f t="shared" si="142"/>
        <v>6.4617444378545255</v>
      </c>
      <c r="CH11" s="43">
        <f t="shared" si="143"/>
        <v>0.23656379243512107</v>
      </c>
      <c r="CI11" s="43">
        <f t="shared" si="144"/>
        <v>5.5000000000000009</v>
      </c>
      <c r="CJ11" s="43">
        <f t="shared" si="145"/>
        <v>3.5832116578976594</v>
      </c>
      <c r="CK11" s="43">
        <f t="shared" si="146"/>
        <v>17.289900623611576</v>
      </c>
      <c r="CL11" s="44">
        <f t="shared" si="147"/>
        <v>5.9615094068700332</v>
      </c>
      <c r="CM11" s="45">
        <f t="shared" si="148"/>
        <v>5.4545454545454543E-2</v>
      </c>
      <c r="CN11" s="46">
        <v>1</v>
      </c>
      <c r="CO11" s="47">
        <v>3.9321400005324098E-3</v>
      </c>
      <c r="CP11" s="47">
        <v>0.4549364250484666</v>
      </c>
      <c r="CQ11" s="47">
        <v>3.841459149489757</v>
      </c>
      <c r="CR11" s="47">
        <f t="shared" si="149"/>
        <v>8.6432736180961992E-3</v>
      </c>
      <c r="CS11" s="46">
        <f t="shared" si="150"/>
        <v>2</v>
      </c>
      <c r="CT11" s="47">
        <v>0.10258658882167279</v>
      </c>
      <c r="CU11" s="47">
        <v>1.3862943760896287</v>
      </c>
      <c r="CV11" s="47">
        <v>5.9914645471914136</v>
      </c>
      <c r="CW11" s="47">
        <f t="shared" si="151"/>
        <v>7.4000580678284605E-2</v>
      </c>
      <c r="CX11" s="47">
        <f t="shared" si="152"/>
        <v>1.7023266868245721</v>
      </c>
      <c r="CY11" s="47">
        <f t="shared" si="153"/>
        <v>7.321979218158825E-2</v>
      </c>
      <c r="CZ11" s="47">
        <f t="shared" si="154"/>
        <v>1.109053969050928</v>
      </c>
      <c r="DA11" s="48">
        <f t="shared" si="155"/>
        <v>5.3514653171125079</v>
      </c>
    </row>
    <row r="12" spans="1:105" s="143" customFormat="1" x14ac:dyDescent="0.3">
      <c r="A12" s="158">
        <f t="shared" si="30"/>
        <v>7</v>
      </c>
      <c r="B12" s="158">
        <f t="shared" si="31"/>
        <v>7</v>
      </c>
      <c r="C12" s="74" t="s">
        <v>1320</v>
      </c>
      <c r="D12" s="252" t="s">
        <v>1352</v>
      </c>
      <c r="E12" s="196" t="s">
        <v>867</v>
      </c>
      <c r="F12" s="148" t="s">
        <v>423</v>
      </c>
      <c r="G12" s="148" t="s">
        <v>461</v>
      </c>
      <c r="H12" s="157">
        <f t="shared" si="4"/>
        <v>144</v>
      </c>
      <c r="I12" s="157">
        <f t="shared" si="4"/>
        <v>14</v>
      </c>
      <c r="J12" s="157">
        <f t="shared" si="4"/>
        <v>3.7069999999999999</v>
      </c>
      <c r="K12" s="157">
        <f t="shared" si="4"/>
        <v>3.6928000000000001</v>
      </c>
      <c r="L12" s="157" t="str">
        <f t="shared" si="4"/>
        <v>All Modes</v>
      </c>
      <c r="M12" s="157">
        <f t="shared" si="4"/>
        <v>98</v>
      </c>
      <c r="N12" s="240">
        <f t="shared" si="4"/>
        <v>3.67</v>
      </c>
      <c r="O12" s="240">
        <f t="shared" si="4"/>
        <v>25.37</v>
      </c>
      <c r="P12" s="240">
        <f t="shared" si="4"/>
        <v>63.36</v>
      </c>
      <c r="Q12" s="240">
        <f t="shared" si="4"/>
        <v>19.489999999999998</v>
      </c>
      <c r="R12" s="240">
        <f t="shared" si="4"/>
        <v>26.54</v>
      </c>
      <c r="S12" s="242">
        <f t="shared" si="5"/>
        <v>0.3</v>
      </c>
      <c r="T12" s="242">
        <f t="shared" si="6"/>
        <v>8.4</v>
      </c>
      <c r="U12" s="242">
        <f t="shared" si="6"/>
        <v>113</v>
      </c>
      <c r="V12" s="163"/>
      <c r="W12" s="158" t="str">
        <f t="shared" si="94"/>
        <v>Gamma</v>
      </c>
      <c r="X12" s="160">
        <f t="shared" si="95"/>
        <v>4.539839891542333</v>
      </c>
      <c r="Y12" s="160" t="e">
        <f t="shared" si="96"/>
        <v>#REF!</v>
      </c>
      <c r="Z12" s="160">
        <f t="shared" si="97"/>
        <v>8682.3841283267575</v>
      </c>
      <c r="AA12" s="160" t="e">
        <f t="shared" si="98"/>
        <v>#REF!</v>
      </c>
      <c r="AB12" s="160">
        <v>0</v>
      </c>
      <c r="AC12" s="160" t="e">
        <f t="shared" si="99"/>
        <v>#REF!</v>
      </c>
      <c r="AD12" s="160">
        <f t="shared" si="100"/>
        <v>14647.749736034788</v>
      </c>
      <c r="AE12" s="160">
        <f t="shared" si="101"/>
        <v>36563.393708864161</v>
      </c>
      <c r="AF12" s="160">
        <f t="shared" si="102"/>
        <v>73928.668742413618</v>
      </c>
      <c r="AG12" s="160">
        <f t="shared" si="103"/>
        <v>39416.633819471819</v>
      </c>
      <c r="AH12" s="160">
        <f t="shared" si="104"/>
        <v>18499.469069847648</v>
      </c>
      <c r="AI12" s="160">
        <f t="shared" si="105"/>
        <v>342230355.8662498</v>
      </c>
      <c r="AJ12" s="158" t="str">
        <f t="shared" si="106"/>
        <v>Gamma</v>
      </c>
      <c r="AK12" s="161">
        <f t="shared" si="107"/>
        <v>0.70710011866966505</v>
      </c>
      <c r="AL12" s="161" t="e">
        <f t="shared" si="108"/>
        <v>#REF!</v>
      </c>
      <c r="AM12" s="161">
        <f t="shared" si="109"/>
        <v>11.879505855272267</v>
      </c>
      <c r="AN12" s="161" t="e">
        <f t="shared" si="110"/>
        <v>#REF!</v>
      </c>
      <c r="AO12" s="162">
        <v>0</v>
      </c>
      <c r="AP12" s="162" t="e">
        <f t="shared" si="111"/>
        <v>#REF!</v>
      </c>
      <c r="AQ12" s="163">
        <f t="shared" si="112"/>
        <v>0.26607025896791914</v>
      </c>
      <c r="AR12" s="163">
        <f t="shared" si="113"/>
        <v>4.9935806349417753</v>
      </c>
      <c r="AS12" s="163">
        <f t="shared" si="114"/>
        <v>28.106862714838407</v>
      </c>
      <c r="AT12" s="163">
        <f t="shared" si="115"/>
        <v>8.4</v>
      </c>
      <c r="AU12" s="163">
        <f t="shared" si="116"/>
        <v>9.9893868272425532</v>
      </c>
      <c r="AV12" s="163">
        <f t="shared" si="117"/>
        <v>99.78784918428704</v>
      </c>
      <c r="AW12" s="252"/>
      <c r="BA12" s="67">
        <f t="shared" si="118"/>
        <v>15782.828282828283</v>
      </c>
      <c r="BB12" s="68">
        <f t="shared" si="119"/>
        <v>39416.633819471819</v>
      </c>
      <c r="BC12" s="68">
        <f t="shared" si="120"/>
        <v>272479.56403269753</v>
      </c>
      <c r="BD12" s="42">
        <f t="shared" si="121"/>
        <v>4.539839891542333</v>
      </c>
      <c r="BE12" s="42">
        <f t="shared" si="122"/>
        <v>1.1517573804842898E-4</v>
      </c>
      <c r="BF12" s="42">
        <f t="shared" si="123"/>
        <v>8682.3841283267575</v>
      </c>
      <c r="BG12" s="69">
        <f t="shared" si="124"/>
        <v>14647.749736034788</v>
      </c>
      <c r="BH12" s="69">
        <f t="shared" si="125"/>
        <v>39416.633819471819</v>
      </c>
      <c r="BI12" s="69">
        <f t="shared" si="126"/>
        <v>36563.393708864161</v>
      </c>
      <c r="BJ12" s="69">
        <f t="shared" si="127"/>
        <v>73928.668742413618</v>
      </c>
      <c r="BK12" s="70">
        <f t="shared" si="128"/>
        <v>18499.469069847648</v>
      </c>
      <c r="BL12" s="71">
        <f t="shared" si="129"/>
        <v>0.40041035353535354</v>
      </c>
      <c r="BM12" s="46">
        <v>9</v>
      </c>
      <c r="BN12" s="47">
        <v>3.3251128637636711</v>
      </c>
      <c r="BO12" s="47">
        <v>8.3428327825440931</v>
      </c>
      <c r="BP12" s="47">
        <v>16.918977616106066</v>
      </c>
      <c r="BQ12" s="47">
        <f t="shared" si="130"/>
        <v>0.39855921249205467</v>
      </c>
      <c r="BR12" s="46">
        <f t="shared" si="131"/>
        <v>10</v>
      </c>
      <c r="BS12" s="47">
        <v>3.9402991447958193</v>
      </c>
      <c r="BT12" s="47">
        <v>9.3418180498453118</v>
      </c>
      <c r="BU12" s="47">
        <v>18.307038053808746</v>
      </c>
      <c r="BV12" s="47">
        <f t="shared" si="132"/>
        <v>0.4217914675464125</v>
      </c>
      <c r="BW12" s="47">
        <f t="shared" si="133"/>
        <v>9.0796797830846661</v>
      </c>
      <c r="BX12" s="47">
        <f t="shared" si="134"/>
        <v>3.3741307731929751</v>
      </c>
      <c r="BY12" s="47">
        <f t="shared" si="135"/>
        <v>8.4224317119474303</v>
      </c>
      <c r="BZ12" s="48">
        <f t="shared" si="136"/>
        <v>17.029577970690621</v>
      </c>
      <c r="CB12" s="39">
        <f t="shared" si="137"/>
        <v>0.3</v>
      </c>
      <c r="CC12" s="40">
        <f t="shared" si="138"/>
        <v>8.4</v>
      </c>
      <c r="CD12" s="40">
        <f t="shared" si="139"/>
        <v>113</v>
      </c>
      <c r="CE12" s="120">
        <f t="shared" si="140"/>
        <v>0.70710011866966505</v>
      </c>
      <c r="CF12" s="42">
        <f t="shared" si="141"/>
        <v>8.4178585555912497E-2</v>
      </c>
      <c r="CG12" s="41">
        <f t="shared" si="142"/>
        <v>11.879505855272267</v>
      </c>
      <c r="CH12" s="43">
        <f t="shared" si="143"/>
        <v>0.26607025896791914</v>
      </c>
      <c r="CI12" s="43">
        <f t="shared" si="144"/>
        <v>8.4</v>
      </c>
      <c r="CJ12" s="43">
        <f t="shared" si="145"/>
        <v>4.9935806349417753</v>
      </c>
      <c r="CK12" s="43">
        <f t="shared" si="146"/>
        <v>28.106862714838407</v>
      </c>
      <c r="CL12" s="44">
        <f t="shared" si="147"/>
        <v>9.9893868272425532</v>
      </c>
      <c r="CM12" s="45">
        <f t="shared" si="148"/>
        <v>3.5714285714285712E-2</v>
      </c>
      <c r="CN12" s="46">
        <v>1</v>
      </c>
      <c r="CO12" s="47">
        <v>3.9321400005324098E-3</v>
      </c>
      <c r="CP12" s="47">
        <v>0.4549364250484666</v>
      </c>
      <c r="CQ12" s="47">
        <v>3.841459149489757</v>
      </c>
      <c r="CR12" s="47">
        <f t="shared" si="149"/>
        <v>8.6432736180961992E-3</v>
      </c>
      <c r="CS12" s="46">
        <f t="shared" si="150"/>
        <v>2</v>
      </c>
      <c r="CT12" s="47">
        <v>0.10258658882167279</v>
      </c>
      <c r="CU12" s="47">
        <v>1.3862943760896287</v>
      </c>
      <c r="CV12" s="47">
        <v>5.9914645471914136</v>
      </c>
      <c r="CW12" s="47">
        <f t="shared" si="151"/>
        <v>7.4000580678284605E-2</v>
      </c>
      <c r="CX12" s="47">
        <f t="shared" si="152"/>
        <v>1.4142002373393301</v>
      </c>
      <c r="CY12" s="47">
        <f t="shared" si="153"/>
        <v>4.4794836116829551E-2</v>
      </c>
      <c r="CZ12" s="47">
        <f t="shared" si="154"/>
        <v>0.84070510941758814</v>
      </c>
      <c r="DA12" s="48">
        <f t="shared" si="155"/>
        <v>4.7319918954986235</v>
      </c>
    </row>
    <row r="13" spans="1:105" x14ac:dyDescent="0.3">
      <c r="A13" s="158">
        <f t="shared" si="30"/>
        <v>8</v>
      </c>
      <c r="B13" s="158">
        <f t="shared" si="31"/>
        <v>8</v>
      </c>
      <c r="C13" s="74" t="s">
        <v>1321</v>
      </c>
      <c r="D13" s="72" t="s">
        <v>1349</v>
      </c>
      <c r="E13" s="196" t="s">
        <v>839</v>
      </c>
      <c r="F13" s="158" t="s">
        <v>423</v>
      </c>
      <c r="G13" s="159" t="s">
        <v>260</v>
      </c>
      <c r="H13" s="157">
        <f t="shared" si="4"/>
        <v>28</v>
      </c>
      <c r="I13" s="157">
        <f t="shared" si="4"/>
        <v>3</v>
      </c>
      <c r="J13" s="157">
        <f t="shared" si="4"/>
        <v>0.90069999999999995</v>
      </c>
      <c r="K13" s="157">
        <f t="shared" si="4"/>
        <v>0.90029999999999999</v>
      </c>
      <c r="L13" s="157" t="str">
        <f t="shared" si="4"/>
        <v>All Modes</v>
      </c>
      <c r="M13" s="157">
        <f t="shared" si="4"/>
        <v>12</v>
      </c>
      <c r="N13" s="240">
        <f t="shared" si="4"/>
        <v>6.81</v>
      </c>
      <c r="O13" s="240">
        <f t="shared" si="4"/>
        <v>12.39</v>
      </c>
      <c r="P13" s="240">
        <f t="shared" si="4"/>
        <v>19.32</v>
      </c>
      <c r="Q13" s="240">
        <f t="shared" si="4"/>
        <v>3.85</v>
      </c>
      <c r="R13" s="240">
        <f t="shared" si="4"/>
        <v>13.33</v>
      </c>
      <c r="S13" s="242">
        <f t="shared" si="5"/>
        <v>0.3</v>
      </c>
      <c r="T13" s="242">
        <f t="shared" si="6"/>
        <v>3.1</v>
      </c>
      <c r="U13" s="242">
        <f t="shared" si="6"/>
        <v>6</v>
      </c>
      <c r="V13" s="163"/>
      <c r="W13" s="158" t="str">
        <f t="shared" si="94"/>
        <v>Gamma</v>
      </c>
      <c r="X13" s="160">
        <f t="shared" si="95"/>
        <v>16.080039604308777</v>
      </c>
      <c r="Y13" s="160" t="e">
        <f t="shared" si="96"/>
        <v>#REF!</v>
      </c>
      <c r="Z13" s="160">
        <f t="shared" si="97"/>
        <v>5019.281804514254</v>
      </c>
      <c r="AA13" s="160" t="e">
        <f t="shared" si="98"/>
        <v>#REF!</v>
      </c>
      <c r="AB13" s="160">
        <v>0</v>
      </c>
      <c r="AC13" s="160" t="e">
        <f t="shared" si="99"/>
        <v>#REF!</v>
      </c>
      <c r="AD13" s="160">
        <f t="shared" si="100"/>
        <v>50692.527277025147</v>
      </c>
      <c r="AE13" s="160">
        <f t="shared" si="101"/>
        <v>79043.466955930446</v>
      </c>
      <c r="AF13" s="160">
        <f t="shared" si="102"/>
        <v>116415.35207475683</v>
      </c>
      <c r="AG13" s="160">
        <f t="shared" si="103"/>
        <v>80710.25020177562</v>
      </c>
      <c r="AH13" s="160">
        <f t="shared" si="104"/>
        <v>20127.282237688356</v>
      </c>
      <c r="AI13" s="160">
        <f t="shared" si="105"/>
        <v>405107490.27556521</v>
      </c>
      <c r="AJ13" s="158" t="str">
        <f t="shared" si="106"/>
        <v>Gamma</v>
      </c>
      <c r="AK13" s="161">
        <f t="shared" si="107"/>
        <v>1.1524125839334751</v>
      </c>
      <c r="AL13" s="161" t="e">
        <f t="shared" si="108"/>
        <v>#REF!</v>
      </c>
      <c r="AM13" s="161">
        <f t="shared" si="109"/>
        <v>2.6900088069317305</v>
      </c>
      <c r="AN13" s="161" t="e">
        <f t="shared" si="110"/>
        <v>#REF!</v>
      </c>
      <c r="AO13" s="162">
        <v>0</v>
      </c>
      <c r="AP13" s="162" t="e">
        <f t="shared" si="111"/>
        <v>#REF!</v>
      </c>
      <c r="AQ13" s="163">
        <f t="shared" si="112"/>
        <v>0.2401737076176175</v>
      </c>
      <c r="AR13" s="163">
        <f t="shared" si="113"/>
        <v>2.2662320141920653</v>
      </c>
      <c r="AS13" s="163">
        <f t="shared" si="114"/>
        <v>8.8060680606983581</v>
      </c>
      <c r="AT13" s="163">
        <f t="shared" si="115"/>
        <v>3.1</v>
      </c>
      <c r="AU13" s="163">
        <f t="shared" si="116"/>
        <v>2.8877374017538999</v>
      </c>
      <c r="AV13" s="163">
        <f t="shared" si="117"/>
        <v>8.3390273014883647</v>
      </c>
      <c r="AW13" s="72"/>
      <c r="BA13" s="67">
        <f t="shared" si="118"/>
        <v>51759.834368530021</v>
      </c>
      <c r="BB13" s="68">
        <f t="shared" si="119"/>
        <v>80710.25020177562</v>
      </c>
      <c r="BC13" s="68">
        <f t="shared" si="120"/>
        <v>146842.87812041116</v>
      </c>
      <c r="BD13" s="42">
        <f t="shared" si="121"/>
        <v>16.080039604308777</v>
      </c>
      <c r="BE13" s="42">
        <f t="shared" si="122"/>
        <v>1.9923169069738575E-4</v>
      </c>
      <c r="BF13" s="42">
        <f t="shared" si="123"/>
        <v>5019.281804514254</v>
      </c>
      <c r="BG13" s="69">
        <f t="shared" si="124"/>
        <v>50692.527277025147</v>
      </c>
      <c r="BH13" s="69">
        <f t="shared" si="125"/>
        <v>80710.25020177562</v>
      </c>
      <c r="BI13" s="69">
        <f t="shared" si="126"/>
        <v>79043.466955930446</v>
      </c>
      <c r="BJ13" s="69">
        <f t="shared" si="127"/>
        <v>116415.35207475683</v>
      </c>
      <c r="BK13" s="70">
        <f t="shared" si="128"/>
        <v>20127.282237688356</v>
      </c>
      <c r="BL13" s="71">
        <f t="shared" si="129"/>
        <v>0.64130434782608703</v>
      </c>
      <c r="BM13" s="46">
        <v>32</v>
      </c>
      <c r="BN13" s="47">
        <v>20.071913596333097</v>
      </c>
      <c r="BO13" s="47">
        <v>31.335860541368994</v>
      </c>
      <c r="BP13" s="47">
        <v>46.194259438116305</v>
      </c>
      <c r="BQ13" s="47">
        <f t="shared" si="130"/>
        <v>0.64054132388783602</v>
      </c>
      <c r="BR13" s="46">
        <f t="shared" si="131"/>
        <v>33</v>
      </c>
      <c r="BS13" s="47">
        <v>20.866534178328408</v>
      </c>
      <c r="BT13" s="47">
        <v>32.335781645672725</v>
      </c>
      <c r="BU13" s="47">
        <v>47.399883813204305</v>
      </c>
      <c r="BV13" s="47">
        <f t="shared" si="132"/>
        <v>0.64530786380791982</v>
      </c>
      <c r="BW13" s="47">
        <f t="shared" si="133"/>
        <v>32.160079208617553</v>
      </c>
      <c r="BX13" s="47">
        <f t="shared" si="134"/>
        <v>20.199115830250129</v>
      </c>
      <c r="BY13" s="47">
        <f t="shared" si="135"/>
        <v>31.495927120425929</v>
      </c>
      <c r="BZ13" s="48">
        <f t="shared" si="136"/>
        <v>46.387254833970431</v>
      </c>
      <c r="CB13" s="39">
        <f t="shared" si="137"/>
        <v>0.3</v>
      </c>
      <c r="CC13" s="40">
        <f t="shared" si="138"/>
        <v>3.1</v>
      </c>
      <c r="CD13" s="40">
        <f t="shared" si="139"/>
        <v>6</v>
      </c>
      <c r="CE13" s="120">
        <f t="shared" si="140"/>
        <v>1.1524125839334751</v>
      </c>
      <c r="CF13" s="42">
        <f t="shared" si="141"/>
        <v>0.37174599481725001</v>
      </c>
      <c r="CG13" s="41">
        <f t="shared" si="142"/>
        <v>2.6900088069317305</v>
      </c>
      <c r="CH13" s="43">
        <f t="shared" si="143"/>
        <v>0.2401737076176175</v>
      </c>
      <c r="CI13" s="43">
        <f t="shared" si="144"/>
        <v>3.1</v>
      </c>
      <c r="CJ13" s="43">
        <f t="shared" si="145"/>
        <v>2.2662320141920653</v>
      </c>
      <c r="CK13" s="43">
        <f t="shared" si="146"/>
        <v>8.8060680606983581</v>
      </c>
      <c r="CL13" s="44">
        <f t="shared" si="147"/>
        <v>2.8877374017538999</v>
      </c>
      <c r="CM13" s="45">
        <f t="shared" si="148"/>
        <v>9.6774193548387094E-2</v>
      </c>
      <c r="CN13" s="46">
        <v>2</v>
      </c>
      <c r="CO13" s="47">
        <v>0.10258658882167279</v>
      </c>
      <c r="CP13" s="47">
        <v>1.3862943760896287</v>
      </c>
      <c r="CQ13" s="47">
        <v>5.9914645471914136</v>
      </c>
      <c r="CR13" s="47">
        <f t="shared" si="149"/>
        <v>7.4000580678284605E-2</v>
      </c>
      <c r="CS13" s="46">
        <f t="shared" si="150"/>
        <v>3</v>
      </c>
      <c r="CT13" s="47">
        <v>0.35184631840544622</v>
      </c>
      <c r="CU13" s="47">
        <v>2.3659738927290714</v>
      </c>
      <c r="CV13" s="47">
        <v>7.81472776394987</v>
      </c>
      <c r="CW13" s="47">
        <f t="shared" si="151"/>
        <v>0.14871098936751298</v>
      </c>
      <c r="CX13" s="47">
        <f t="shared" si="152"/>
        <v>2.3048251678669502</v>
      </c>
      <c r="CY13" s="47">
        <f t="shared" si="153"/>
        <v>0.17856722773451711</v>
      </c>
      <c r="CZ13" s="47">
        <f t="shared" si="154"/>
        <v>1.6849253492050593</v>
      </c>
      <c r="DA13" s="48">
        <f t="shared" si="155"/>
        <v>6.5472410633054459</v>
      </c>
    </row>
    <row r="14" spans="1:105" s="143" customFormat="1" x14ac:dyDescent="0.3">
      <c r="A14" s="158">
        <f t="shared" si="30"/>
        <v>9</v>
      </c>
      <c r="B14" s="158">
        <f t="shared" si="31"/>
        <v>9</v>
      </c>
      <c r="C14" s="74" t="s">
        <v>1350</v>
      </c>
      <c r="D14" s="72" t="s">
        <v>1331</v>
      </c>
      <c r="E14" s="196" t="s">
        <v>705</v>
      </c>
      <c r="F14" s="158" t="s">
        <v>423</v>
      </c>
      <c r="G14" s="159" t="s">
        <v>252</v>
      </c>
      <c r="H14" s="157">
        <f t="shared" si="4"/>
        <v>7</v>
      </c>
      <c r="I14" s="157">
        <f t="shared" si="4"/>
        <v>4</v>
      </c>
      <c r="J14" s="157">
        <f t="shared" si="4"/>
        <v>0.2147</v>
      </c>
      <c r="K14" s="157">
        <f t="shared" si="4"/>
        <v>0.19846101397749963</v>
      </c>
      <c r="L14" s="157" t="str">
        <f t="shared" si="4"/>
        <v>All Modes</v>
      </c>
      <c r="M14" s="157">
        <f t="shared" si="4"/>
        <v>163</v>
      </c>
      <c r="N14" s="240">
        <f t="shared" si="4"/>
        <v>0.78</v>
      </c>
      <c r="O14" s="240">
        <f t="shared" si="4"/>
        <v>742.11</v>
      </c>
      <c r="P14" s="240">
        <f t="shared" si="4"/>
        <v>3079.5</v>
      </c>
      <c r="Q14" s="240">
        <f t="shared" si="4"/>
        <v>1171.42</v>
      </c>
      <c r="R14" s="240">
        <f t="shared" si="4"/>
        <v>821.32</v>
      </c>
      <c r="S14" s="242">
        <f t="shared" si="5"/>
        <v>0.3</v>
      </c>
      <c r="T14" s="242">
        <f t="shared" si="6"/>
        <v>9.6</v>
      </c>
      <c r="U14" s="242">
        <f t="shared" si="6"/>
        <v>125</v>
      </c>
      <c r="V14" s="163"/>
      <c r="W14" s="158" t="str">
        <f t="shared" si="94"/>
        <v>Gamma</v>
      </c>
      <c r="X14" s="160">
        <f t="shared" si="95"/>
        <v>2.2839535506277469</v>
      </c>
      <c r="Y14" s="160" t="e">
        <f t="shared" si="96"/>
        <v>#REF!</v>
      </c>
      <c r="Z14" s="160">
        <f t="shared" si="97"/>
        <v>589.98972593115445</v>
      </c>
      <c r="AA14" s="160" t="e">
        <f t="shared" si="98"/>
        <v>#REF!</v>
      </c>
      <c r="AB14" s="160">
        <v>0</v>
      </c>
      <c r="AC14" s="160" t="e">
        <f t="shared" si="99"/>
        <v>#REF!</v>
      </c>
      <c r="AD14" s="160">
        <f t="shared" si="100"/>
        <v>282.49370491086233</v>
      </c>
      <c r="AE14" s="160">
        <f t="shared" si="101"/>
        <v>1156.8603511150714</v>
      </c>
      <c r="AF14" s="160">
        <f t="shared" si="102"/>
        <v>3063.9920599623993</v>
      </c>
      <c r="AG14" s="160">
        <f t="shared" si="103"/>
        <v>1347.5091293743515</v>
      </c>
      <c r="AH14" s="160">
        <f t="shared" si="104"/>
        <v>891.63700121142472</v>
      </c>
      <c r="AI14" s="160">
        <f t="shared" si="105"/>
        <v>795016.54192930216</v>
      </c>
      <c r="AJ14" s="158" t="str">
        <f t="shared" si="106"/>
        <v>Gamma</v>
      </c>
      <c r="AK14" s="161">
        <f t="shared" si="107"/>
        <v>0.67294719901085398</v>
      </c>
      <c r="AL14" s="161" t="e">
        <f t="shared" si="108"/>
        <v>#REF!</v>
      </c>
      <c r="AM14" s="161">
        <f t="shared" si="109"/>
        <v>14.265606594560118</v>
      </c>
      <c r="AN14" s="161" t="e">
        <f t="shared" si="110"/>
        <v>#REF!</v>
      </c>
      <c r="AO14" s="162">
        <v>0</v>
      </c>
      <c r="AP14" s="162" t="e">
        <f t="shared" si="111"/>
        <v>#REF!</v>
      </c>
      <c r="AQ14" s="163">
        <f t="shared" si="112"/>
        <v>0.27144711200133509</v>
      </c>
      <c r="AR14" s="163">
        <f t="shared" si="113"/>
        <v>5.54281529849926</v>
      </c>
      <c r="AS14" s="163">
        <f t="shared" si="114"/>
        <v>32.704858715886786</v>
      </c>
      <c r="AT14" s="163">
        <f t="shared" si="115"/>
        <v>9.5999999999999979</v>
      </c>
      <c r="AU14" s="163">
        <f t="shared" si="116"/>
        <v>11.702556272361056</v>
      </c>
      <c r="AV14" s="163">
        <f t="shared" si="117"/>
        <v>136.94982330777708</v>
      </c>
      <c r="AW14" s="252"/>
      <c r="BA14" s="67">
        <f t="shared" si="118"/>
        <v>324.72804026627699</v>
      </c>
      <c r="BB14" s="68">
        <f t="shared" si="119"/>
        <v>1347.5091293743515</v>
      </c>
      <c r="BC14" s="68">
        <f t="shared" si="120"/>
        <v>1282051.282051282</v>
      </c>
      <c r="BD14" s="42">
        <f t="shared" si="121"/>
        <v>2.2839535506277469</v>
      </c>
      <c r="BE14" s="42">
        <f t="shared" si="122"/>
        <v>1.6949447694563572E-3</v>
      </c>
      <c r="BF14" s="42">
        <f t="shared" si="123"/>
        <v>589.98972593115445</v>
      </c>
      <c r="BG14" s="69">
        <f t="shared" si="124"/>
        <v>282.49370491086233</v>
      </c>
      <c r="BH14" s="69">
        <f t="shared" si="125"/>
        <v>1347.5091293743515</v>
      </c>
      <c r="BI14" s="69">
        <f t="shared" si="126"/>
        <v>1156.8603511150714</v>
      </c>
      <c r="BJ14" s="69">
        <f t="shared" si="127"/>
        <v>3063.9920599623993</v>
      </c>
      <c r="BK14" s="70">
        <f t="shared" si="128"/>
        <v>891.63700121142472</v>
      </c>
      <c r="BL14" s="71">
        <f t="shared" si="129"/>
        <v>0.24098392596200682</v>
      </c>
      <c r="BM14" s="46">
        <v>4</v>
      </c>
      <c r="BN14" s="47">
        <v>0.71072302281597644</v>
      </c>
      <c r="BO14" s="47">
        <v>3.3566940013967228</v>
      </c>
      <c r="BP14" s="47">
        <v>9.487729036988851</v>
      </c>
      <c r="BQ14" s="47">
        <f t="shared" si="130"/>
        <v>0.21173303927025938</v>
      </c>
      <c r="BR14" s="46">
        <f t="shared" si="131"/>
        <v>5</v>
      </c>
      <c r="BS14" s="47">
        <v>1.1454762275641139</v>
      </c>
      <c r="BT14" s="47">
        <v>4.3514602221082166</v>
      </c>
      <c r="BU14" s="47">
        <v>11.070497754622684</v>
      </c>
      <c r="BV14" s="47">
        <f t="shared" si="132"/>
        <v>0.26323950331531426</v>
      </c>
      <c r="BW14" s="47">
        <f t="shared" si="133"/>
        <v>4.5679071012554937</v>
      </c>
      <c r="BX14" s="47">
        <f t="shared" si="134"/>
        <v>0.9576224550860275</v>
      </c>
      <c r="BY14" s="47">
        <f t="shared" si="135"/>
        <v>3.92162880222787</v>
      </c>
      <c r="BZ14" s="48">
        <f t="shared" si="136"/>
        <v>10.386594631378156</v>
      </c>
      <c r="CB14" s="39">
        <f t="shared" si="137"/>
        <v>0.3</v>
      </c>
      <c r="CC14" s="40">
        <f t="shared" si="138"/>
        <v>9.6</v>
      </c>
      <c r="CD14" s="40">
        <f t="shared" si="139"/>
        <v>125</v>
      </c>
      <c r="CE14" s="120">
        <f t="shared" si="140"/>
        <v>0.67294719901085398</v>
      </c>
      <c r="CF14" s="42">
        <f t="shared" si="141"/>
        <v>7.0098666563630632E-2</v>
      </c>
      <c r="CG14" s="41">
        <f t="shared" si="142"/>
        <v>14.265606594560118</v>
      </c>
      <c r="CH14" s="43">
        <f t="shared" si="143"/>
        <v>0.27144711200133509</v>
      </c>
      <c r="CI14" s="43">
        <f t="shared" si="144"/>
        <v>9.5999999999999979</v>
      </c>
      <c r="CJ14" s="43">
        <f t="shared" si="145"/>
        <v>5.54281529849926</v>
      </c>
      <c r="CK14" s="43">
        <f t="shared" si="146"/>
        <v>32.704858715886786</v>
      </c>
      <c r="CL14" s="44">
        <f t="shared" si="147"/>
        <v>11.702556272361056</v>
      </c>
      <c r="CM14" s="45">
        <f t="shared" si="148"/>
        <v>3.125E-2</v>
      </c>
      <c r="CN14" s="46">
        <v>1</v>
      </c>
      <c r="CO14" s="47">
        <v>3.9321400005324098E-3</v>
      </c>
      <c r="CP14" s="47">
        <v>0.4549364250484666</v>
      </c>
      <c r="CQ14" s="47">
        <v>3.841459149489757</v>
      </c>
      <c r="CR14" s="47">
        <f t="shared" si="149"/>
        <v>8.6432736180961992E-3</v>
      </c>
      <c r="CS14" s="46">
        <f t="shared" si="150"/>
        <v>2</v>
      </c>
      <c r="CT14" s="47">
        <v>0.10258658882167279</v>
      </c>
      <c r="CU14" s="47">
        <v>1.3862943760896287</v>
      </c>
      <c r="CV14" s="47">
        <v>5.9914645471914136</v>
      </c>
      <c r="CW14" s="47">
        <f t="shared" si="151"/>
        <v>7.4000580678284605E-2</v>
      </c>
      <c r="CX14" s="47">
        <f t="shared" si="152"/>
        <v>1.345894398021708</v>
      </c>
      <c r="CY14" s="47">
        <f t="shared" si="153"/>
        <v>3.8056161187684172E-2</v>
      </c>
      <c r="CZ14" s="47">
        <f t="shared" si="154"/>
        <v>0.77708792286658079</v>
      </c>
      <c r="DA14" s="48">
        <f t="shared" si="155"/>
        <v>4.5851339722711941</v>
      </c>
    </row>
    <row r="15" spans="1:105" s="143" customFormat="1" x14ac:dyDescent="0.3">
      <c r="A15" s="158">
        <f t="shared" si="30"/>
        <v>10</v>
      </c>
      <c r="B15" s="158">
        <f t="shared" si="31"/>
        <v>10</v>
      </c>
      <c r="C15" s="74" t="s">
        <v>1322</v>
      </c>
      <c r="D15" s="72" t="s">
        <v>1332</v>
      </c>
      <c r="E15" s="196" t="s">
        <v>687</v>
      </c>
      <c r="F15" s="158" t="s">
        <v>423</v>
      </c>
      <c r="G15" s="159" t="s">
        <v>264</v>
      </c>
      <c r="H15" s="157">
        <f t="shared" si="4"/>
        <v>33</v>
      </c>
      <c r="I15" s="157">
        <f t="shared" si="4"/>
        <v>7</v>
      </c>
      <c r="J15" s="157">
        <f t="shared" si="4"/>
        <v>1.1348</v>
      </c>
      <c r="K15" s="157">
        <f t="shared" si="4"/>
        <v>1.0038</v>
      </c>
      <c r="L15" s="157" t="str">
        <f t="shared" si="4"/>
        <v>All Modes</v>
      </c>
      <c r="M15" s="157">
        <f t="shared" si="4"/>
        <v>265</v>
      </c>
      <c r="N15" s="240" t="str">
        <f t="shared" si="4"/>
        <v>3E -4</v>
      </c>
      <c r="O15" s="240">
        <f t="shared" si="4"/>
        <v>167.13</v>
      </c>
      <c r="P15" s="240">
        <f t="shared" si="4"/>
        <v>849.47</v>
      </c>
      <c r="Q15" s="240">
        <f t="shared" si="4"/>
        <v>366.39</v>
      </c>
      <c r="R15" s="240">
        <f t="shared" si="4"/>
        <v>263.99</v>
      </c>
      <c r="S15" s="242">
        <f t="shared" si="5"/>
        <v>0.3</v>
      </c>
      <c r="T15" s="242">
        <f t="shared" si="6"/>
        <v>5.5</v>
      </c>
      <c r="U15" s="242">
        <f t="shared" si="6"/>
        <v>147</v>
      </c>
      <c r="V15" s="163"/>
      <c r="W15" s="158" t="str">
        <f t="shared" si="94"/>
        <v>Gamma</v>
      </c>
      <c r="X15" s="160">
        <f t="shared" si="95"/>
        <v>1.8810984977857583</v>
      </c>
      <c r="Y15" s="160" t="e">
        <f t="shared" si="96"/>
        <v>#REF!</v>
      </c>
      <c r="Z15" s="160">
        <f t="shared" si="97"/>
        <v>3180.7830631360803</v>
      </c>
      <c r="AA15" s="160" t="e">
        <f t="shared" si="98"/>
        <v>#REF!</v>
      </c>
      <c r="AB15" s="160">
        <v>0</v>
      </c>
      <c r="AC15" s="160" t="e">
        <f t="shared" si="99"/>
        <v>#REF!</v>
      </c>
      <c r="AD15" s="160">
        <f t="shared" si="100"/>
        <v>994.60074864626085</v>
      </c>
      <c r="AE15" s="160">
        <f t="shared" si="101"/>
        <v>4963.7674832914554</v>
      </c>
      <c r="AF15" s="160">
        <f t="shared" si="102"/>
        <v>14456.475026133885</v>
      </c>
      <c r="AG15" s="160">
        <f t="shared" si="103"/>
        <v>5983.3662418476633</v>
      </c>
      <c r="AH15" s="160">
        <f t="shared" si="104"/>
        <v>4362.5439828853559</v>
      </c>
      <c r="AI15" s="160">
        <f t="shared" si="105"/>
        <v>19031790.002609223</v>
      </c>
      <c r="AJ15" s="158" t="str">
        <f t="shared" si="106"/>
        <v>Gamma</v>
      </c>
      <c r="AK15" s="161">
        <f t="shared" si="107"/>
        <v>0.85116334341228606</v>
      </c>
      <c r="AL15" s="161" t="e">
        <f t="shared" si="108"/>
        <v>#REF!</v>
      </c>
      <c r="AM15" s="161">
        <f t="shared" si="109"/>
        <v>6.4617444378545255</v>
      </c>
      <c r="AN15" s="161" t="e">
        <f t="shared" si="110"/>
        <v>#REF!</v>
      </c>
      <c r="AO15" s="162">
        <v>0</v>
      </c>
      <c r="AP15" s="162" t="e">
        <f t="shared" si="111"/>
        <v>#REF!</v>
      </c>
      <c r="AQ15" s="163">
        <f t="shared" si="112"/>
        <v>0.23656379243512107</v>
      </c>
      <c r="AR15" s="163">
        <f t="shared" si="113"/>
        <v>3.5832116578976594</v>
      </c>
      <c r="AS15" s="163">
        <f t="shared" si="114"/>
        <v>17.289900623611576</v>
      </c>
      <c r="AT15" s="163">
        <f t="shared" si="115"/>
        <v>5.5000000000000009</v>
      </c>
      <c r="AU15" s="163">
        <f t="shared" si="116"/>
        <v>5.9615094068700332</v>
      </c>
      <c r="AV15" s="163">
        <f t="shared" si="117"/>
        <v>35.539594408199896</v>
      </c>
      <c r="AW15" s="252"/>
      <c r="BA15" s="67">
        <f t="shared" si="118"/>
        <v>1177.2046099332524</v>
      </c>
      <c r="BB15" s="68">
        <f t="shared" si="119"/>
        <v>5983.3662418476633</v>
      </c>
      <c r="BC15" s="68" t="e">
        <f t="shared" si="120"/>
        <v>#VALUE!</v>
      </c>
      <c r="BD15" s="42">
        <f t="shared" si="121"/>
        <v>1.8810984977857583</v>
      </c>
      <c r="BE15" s="42">
        <f t="shared" si="122"/>
        <v>3.1438799193493378E-4</v>
      </c>
      <c r="BF15" s="42">
        <f t="shared" si="123"/>
        <v>3180.7830631360803</v>
      </c>
      <c r="BG15" s="69">
        <f t="shared" si="124"/>
        <v>994.60074864626085</v>
      </c>
      <c r="BH15" s="69">
        <f t="shared" si="125"/>
        <v>5983.3662418476633</v>
      </c>
      <c r="BI15" s="69">
        <f t="shared" si="126"/>
        <v>4963.7674832914554</v>
      </c>
      <c r="BJ15" s="69">
        <f t="shared" si="127"/>
        <v>14456.475026133885</v>
      </c>
      <c r="BK15" s="70">
        <f t="shared" si="128"/>
        <v>4362.5439828853559</v>
      </c>
      <c r="BL15" s="71">
        <f t="shared" si="129"/>
        <v>0.19674620645814447</v>
      </c>
      <c r="BM15" s="46">
        <v>3</v>
      </c>
      <c r="BN15" s="47">
        <v>0.35184631840544622</v>
      </c>
      <c r="BO15" s="47">
        <v>2.3659738927290714</v>
      </c>
      <c r="BP15" s="47">
        <v>7.81472776394987</v>
      </c>
      <c r="BQ15" s="47">
        <f t="shared" si="130"/>
        <v>0.14871098936751298</v>
      </c>
      <c r="BR15" s="46">
        <f t="shared" si="131"/>
        <v>4</v>
      </c>
      <c r="BS15" s="47">
        <v>0.71072302281597644</v>
      </c>
      <c r="BT15" s="47">
        <v>3.3566940013967228</v>
      </c>
      <c r="BU15" s="47">
        <v>9.487729036988851</v>
      </c>
      <c r="BV15" s="47">
        <f t="shared" si="132"/>
        <v>0.21173303927025938</v>
      </c>
      <c r="BW15" s="47">
        <f t="shared" si="133"/>
        <v>3.7621969955715167</v>
      </c>
      <c r="BX15" s="47">
        <f t="shared" si="134"/>
        <v>0.62538106428775952</v>
      </c>
      <c r="BY15" s="47">
        <f t="shared" si="135"/>
        <v>3.1210977830078415</v>
      </c>
      <c r="BZ15" s="48">
        <f t="shared" si="136"/>
        <v>9.0898843078475036</v>
      </c>
      <c r="CB15" s="39">
        <f t="shared" si="137"/>
        <v>0.3</v>
      </c>
      <c r="CC15" s="40">
        <f t="shared" si="138"/>
        <v>5.5</v>
      </c>
      <c r="CD15" s="40">
        <f t="shared" si="139"/>
        <v>147</v>
      </c>
      <c r="CE15" s="120">
        <f t="shared" si="140"/>
        <v>0.85116334341228606</v>
      </c>
      <c r="CF15" s="42">
        <f t="shared" si="141"/>
        <v>0.15475697152950654</v>
      </c>
      <c r="CG15" s="41">
        <f t="shared" si="142"/>
        <v>6.4617444378545255</v>
      </c>
      <c r="CH15" s="43">
        <f t="shared" si="143"/>
        <v>0.23656379243512107</v>
      </c>
      <c r="CI15" s="43">
        <f t="shared" si="144"/>
        <v>5.5000000000000009</v>
      </c>
      <c r="CJ15" s="43">
        <f t="shared" si="145"/>
        <v>3.5832116578976594</v>
      </c>
      <c r="CK15" s="43">
        <f t="shared" si="146"/>
        <v>17.289900623611576</v>
      </c>
      <c r="CL15" s="44">
        <f t="shared" si="147"/>
        <v>5.9615094068700332</v>
      </c>
      <c r="CM15" s="45">
        <f t="shared" si="148"/>
        <v>5.4545454545454543E-2</v>
      </c>
      <c r="CN15" s="46">
        <v>1</v>
      </c>
      <c r="CO15" s="47">
        <v>3.9321400005324098E-3</v>
      </c>
      <c r="CP15" s="47">
        <v>0.4549364250484666</v>
      </c>
      <c r="CQ15" s="47">
        <v>3.841459149489757</v>
      </c>
      <c r="CR15" s="47">
        <f t="shared" si="149"/>
        <v>8.6432736180961992E-3</v>
      </c>
      <c r="CS15" s="46">
        <f t="shared" si="150"/>
        <v>2</v>
      </c>
      <c r="CT15" s="47">
        <v>0.10258658882167279</v>
      </c>
      <c r="CU15" s="47">
        <v>1.3862943760896287</v>
      </c>
      <c r="CV15" s="47">
        <v>5.9914645471914136</v>
      </c>
      <c r="CW15" s="47">
        <f t="shared" si="151"/>
        <v>7.4000580678284605E-2</v>
      </c>
      <c r="CX15" s="47">
        <f t="shared" si="152"/>
        <v>1.7023266868245721</v>
      </c>
      <c r="CY15" s="47">
        <f t="shared" si="153"/>
        <v>7.321979218158825E-2</v>
      </c>
      <c r="CZ15" s="47">
        <f t="shared" si="154"/>
        <v>1.109053969050928</v>
      </c>
      <c r="DA15" s="48">
        <f t="shared" si="155"/>
        <v>5.3514653171125079</v>
      </c>
    </row>
    <row r="16" spans="1:105" s="143" customFormat="1" x14ac:dyDescent="0.3">
      <c r="A16" s="158">
        <f t="shared" si="30"/>
        <v>11</v>
      </c>
      <c r="B16" s="158">
        <f t="shared" si="31"/>
        <v>11</v>
      </c>
      <c r="C16" s="74" t="s">
        <v>1323</v>
      </c>
      <c r="D16" s="72" t="s">
        <v>1353</v>
      </c>
      <c r="E16" s="196" t="s">
        <v>705</v>
      </c>
      <c r="F16" s="158" t="s">
        <v>423</v>
      </c>
      <c r="G16" s="159" t="s">
        <v>255</v>
      </c>
      <c r="H16" s="157">
        <f t="shared" si="4"/>
        <v>25</v>
      </c>
      <c r="I16" s="157">
        <f t="shared" si="4"/>
        <v>7</v>
      </c>
      <c r="J16" s="157">
        <f t="shared" si="4"/>
        <v>0.65449999999999997</v>
      </c>
      <c r="K16" s="157">
        <f t="shared" si="4"/>
        <v>0.62860000000000005</v>
      </c>
      <c r="L16" s="157" t="str">
        <f t="shared" si="4"/>
        <v>All Modes</v>
      </c>
      <c r="M16" s="157">
        <f t="shared" si="4"/>
        <v>96</v>
      </c>
      <c r="N16" s="240">
        <f t="shared" si="4"/>
        <v>5.9</v>
      </c>
      <c r="O16" s="240">
        <f t="shared" si="4"/>
        <v>139.21</v>
      </c>
      <c r="P16" s="240">
        <f t="shared" si="4"/>
        <v>418.52</v>
      </c>
      <c r="Q16" s="240">
        <f t="shared" si="4"/>
        <v>141.36000000000001</v>
      </c>
      <c r="R16" s="240">
        <f t="shared" si="4"/>
        <v>152.72999999999999</v>
      </c>
      <c r="S16" s="242">
        <f t="shared" si="5"/>
        <v>0.3</v>
      </c>
      <c r="T16" s="242">
        <f t="shared" si="6"/>
        <v>9.6999999999999993</v>
      </c>
      <c r="U16" s="242">
        <f t="shared" si="6"/>
        <v>36</v>
      </c>
      <c r="V16" s="163"/>
      <c r="W16" s="158" t="str">
        <f t="shared" si="94"/>
        <v>Gamma</v>
      </c>
      <c r="X16" s="160">
        <f t="shared" si="95"/>
        <v>3.3753173903859759</v>
      </c>
      <c r="Y16" s="160" t="e">
        <f t="shared" si="96"/>
        <v>#REF!</v>
      </c>
      <c r="Z16" s="160">
        <f t="shared" si="97"/>
        <v>2128.2123032820555</v>
      </c>
      <c r="AA16" s="160" t="e">
        <f t="shared" si="98"/>
        <v>#REF!</v>
      </c>
      <c r="AB16" s="160">
        <v>0</v>
      </c>
      <c r="AC16" s="160" t="e">
        <f t="shared" si="99"/>
        <v>#REF!</v>
      </c>
      <c r="AD16" s="160">
        <f t="shared" si="100"/>
        <v>2165.1323656631102</v>
      </c>
      <c r="AE16" s="160">
        <f t="shared" si="101"/>
        <v>6487.8786754728426</v>
      </c>
      <c r="AF16" s="160">
        <f t="shared" si="102"/>
        <v>14577.391062403802</v>
      </c>
      <c r="AG16" s="160">
        <f t="shared" si="103"/>
        <v>7183.3919977013138</v>
      </c>
      <c r="AH16" s="160">
        <f t="shared" si="104"/>
        <v>3909.9594919648207</v>
      </c>
      <c r="AI16" s="160">
        <f t="shared" si="105"/>
        <v>15287783.228805799</v>
      </c>
      <c r="AJ16" s="158" t="str">
        <f t="shared" si="106"/>
        <v>Gamma</v>
      </c>
      <c r="AK16" s="161">
        <f t="shared" si="107"/>
        <v>0.6704825553241357</v>
      </c>
      <c r="AL16" s="161" t="e">
        <f t="shared" si="108"/>
        <v>#REF!</v>
      </c>
      <c r="AM16" s="161">
        <f t="shared" si="109"/>
        <v>14.467192208021977</v>
      </c>
      <c r="AN16" s="161" t="e">
        <f t="shared" si="110"/>
        <v>#REF!</v>
      </c>
      <c r="AO16" s="162">
        <v>0</v>
      </c>
      <c r="AP16" s="162" t="e">
        <f t="shared" si="111"/>
        <v>#REF!</v>
      </c>
      <c r="AQ16" s="163">
        <f t="shared" si="112"/>
        <v>0.27176522951738619</v>
      </c>
      <c r="AR16" s="163">
        <f t="shared" si="113"/>
        <v>5.5879312308115399</v>
      </c>
      <c r="AS16" s="163">
        <f t="shared" si="114"/>
        <v>33.090345626755244</v>
      </c>
      <c r="AT16" s="163">
        <f t="shared" si="115"/>
        <v>9.6999999999999993</v>
      </c>
      <c r="AU16" s="163">
        <f t="shared" si="116"/>
        <v>11.846170875764589</v>
      </c>
      <c r="AV16" s="163">
        <f t="shared" si="117"/>
        <v>140.33176441781316</v>
      </c>
      <c r="AW16" s="252"/>
      <c r="BA16" s="67">
        <f t="shared" si="118"/>
        <v>2389.3720730192108</v>
      </c>
      <c r="BB16" s="68">
        <f t="shared" si="119"/>
        <v>7183.3919977013138</v>
      </c>
      <c r="BC16" s="68">
        <f t="shared" si="120"/>
        <v>169491.5254237288</v>
      </c>
      <c r="BD16" s="42">
        <f t="shared" si="121"/>
        <v>3.3753173903859759</v>
      </c>
      <c r="BE16" s="42">
        <f t="shared" si="122"/>
        <v>4.6987793391563173E-4</v>
      </c>
      <c r="BF16" s="42">
        <f t="shared" si="123"/>
        <v>2128.2123032820555</v>
      </c>
      <c r="BG16" s="69">
        <f t="shared" si="124"/>
        <v>2165.1323656631102</v>
      </c>
      <c r="BH16" s="69">
        <f t="shared" si="125"/>
        <v>7183.3919977013138</v>
      </c>
      <c r="BI16" s="69">
        <f t="shared" si="126"/>
        <v>6487.8786754728426</v>
      </c>
      <c r="BJ16" s="69">
        <f t="shared" si="127"/>
        <v>14577.391062403802</v>
      </c>
      <c r="BK16" s="70">
        <f t="shared" si="128"/>
        <v>3909.9594919648207</v>
      </c>
      <c r="BL16" s="71">
        <f t="shared" si="129"/>
        <v>0.33262448628500435</v>
      </c>
      <c r="BM16" s="46">
        <v>6</v>
      </c>
      <c r="BN16" s="47">
        <v>1.6353828954369192</v>
      </c>
      <c r="BO16" s="47">
        <v>5.3481208434097312</v>
      </c>
      <c r="BP16" s="47">
        <v>12.591587244072656</v>
      </c>
      <c r="BQ16" s="47">
        <f t="shared" si="130"/>
        <v>0.30578645160049706</v>
      </c>
      <c r="BR16" s="46">
        <f t="shared" si="131"/>
        <v>7</v>
      </c>
      <c r="BS16" s="47">
        <v>2.1673499186219098</v>
      </c>
      <c r="BT16" s="47">
        <v>6.3458113725816272</v>
      </c>
      <c r="BU16" s="47">
        <v>14.067140433005996</v>
      </c>
      <c r="BV16" s="47">
        <f t="shared" si="132"/>
        <v>0.34154023675938233</v>
      </c>
      <c r="BW16" s="47">
        <f t="shared" si="133"/>
        <v>6.7506347807719518</v>
      </c>
      <c r="BX16" s="47">
        <f t="shared" si="134"/>
        <v>2.0346958452632924</v>
      </c>
      <c r="BY16" s="47">
        <f t="shared" si="135"/>
        <v>6.0970220550529293</v>
      </c>
      <c r="BZ16" s="48">
        <f t="shared" si="136"/>
        <v>13.699188788564987</v>
      </c>
      <c r="CB16" s="39">
        <f t="shared" si="137"/>
        <v>0.3</v>
      </c>
      <c r="CC16" s="40">
        <f t="shared" si="138"/>
        <v>9.6999999999999993</v>
      </c>
      <c r="CD16" s="40">
        <f t="shared" si="139"/>
        <v>36</v>
      </c>
      <c r="CE16" s="120">
        <f t="shared" si="140"/>
        <v>0.6704825553241357</v>
      </c>
      <c r="CF16" s="42">
        <f t="shared" si="141"/>
        <v>6.9121912920013989E-2</v>
      </c>
      <c r="CG16" s="41">
        <f t="shared" si="142"/>
        <v>14.467192208021977</v>
      </c>
      <c r="CH16" s="43">
        <f t="shared" si="143"/>
        <v>0.27176522951738619</v>
      </c>
      <c r="CI16" s="43">
        <f t="shared" si="144"/>
        <v>9.6999999999999993</v>
      </c>
      <c r="CJ16" s="43">
        <f t="shared" si="145"/>
        <v>5.5879312308115399</v>
      </c>
      <c r="CK16" s="43">
        <f t="shared" si="146"/>
        <v>33.090345626755244</v>
      </c>
      <c r="CL16" s="44">
        <f t="shared" si="147"/>
        <v>11.846170875764589</v>
      </c>
      <c r="CM16" s="45">
        <f t="shared" si="148"/>
        <v>3.0927835051546393E-2</v>
      </c>
      <c r="CN16" s="46">
        <v>1</v>
      </c>
      <c r="CO16" s="47">
        <v>3.9321400005324098E-3</v>
      </c>
      <c r="CP16" s="47">
        <v>0.4549364250484666</v>
      </c>
      <c r="CQ16" s="47">
        <v>3.841459149489757</v>
      </c>
      <c r="CR16" s="47">
        <f t="shared" si="149"/>
        <v>8.6432736180961992E-3</v>
      </c>
      <c r="CS16" s="46">
        <f t="shared" si="150"/>
        <v>2</v>
      </c>
      <c r="CT16" s="47">
        <v>0.10258658882167279</v>
      </c>
      <c r="CU16" s="47">
        <v>1.3862943760896287</v>
      </c>
      <c r="CV16" s="47">
        <v>5.9914645471914136</v>
      </c>
      <c r="CW16" s="47">
        <f t="shared" si="151"/>
        <v>7.4000580678284605E-2</v>
      </c>
      <c r="CX16" s="47">
        <f t="shared" si="152"/>
        <v>1.3409651106482714</v>
      </c>
      <c r="CY16" s="47">
        <f t="shared" si="153"/>
        <v>3.7569865058776769E-2</v>
      </c>
      <c r="CZ16" s="47">
        <f t="shared" si="154"/>
        <v>0.77249699187836374</v>
      </c>
      <c r="DA16" s="48">
        <f t="shared" si="155"/>
        <v>4.5745359778114834</v>
      </c>
    </row>
    <row r="17" spans="1:105" s="143" customFormat="1" x14ac:dyDescent="0.3">
      <c r="A17" s="158">
        <f t="shared" si="30"/>
        <v>12</v>
      </c>
      <c r="B17" s="158">
        <f t="shared" si="31"/>
        <v>12</v>
      </c>
      <c r="C17" s="74" t="s">
        <v>1324</v>
      </c>
      <c r="D17" s="72" t="s">
        <v>1325</v>
      </c>
      <c r="E17" s="250" t="s">
        <v>568</v>
      </c>
      <c r="F17" s="158" t="s">
        <v>423</v>
      </c>
      <c r="G17" s="159" t="s">
        <v>587</v>
      </c>
      <c r="H17" s="157">
        <f t="shared" si="4"/>
        <v>10</v>
      </c>
      <c r="I17" s="157">
        <f t="shared" si="4"/>
        <v>4</v>
      </c>
      <c r="J17" s="157">
        <f t="shared" si="4"/>
        <v>0.29870000000000002</v>
      </c>
      <c r="K17" s="157">
        <f t="shared" si="4"/>
        <v>0.24970000000000001</v>
      </c>
      <c r="L17" s="157" t="str">
        <f t="shared" si="4"/>
        <v>All Modes</v>
      </c>
      <c r="M17" s="157">
        <f t="shared" si="4"/>
        <v>73</v>
      </c>
      <c r="N17" s="240">
        <f t="shared" si="4"/>
        <v>18.309999999999999</v>
      </c>
      <c r="O17" s="240">
        <f t="shared" si="4"/>
        <v>324.68</v>
      </c>
      <c r="P17" s="240">
        <f t="shared" si="4"/>
        <v>960.23</v>
      </c>
      <c r="Q17" s="240">
        <f t="shared" si="4"/>
        <v>319.45</v>
      </c>
      <c r="R17" s="240">
        <f t="shared" si="4"/>
        <v>292.32</v>
      </c>
      <c r="S17" s="242">
        <f t="shared" si="5"/>
        <v>0.3</v>
      </c>
      <c r="T17" s="242">
        <f t="shared" si="6"/>
        <v>19</v>
      </c>
      <c r="U17" s="242">
        <f t="shared" si="6"/>
        <v>125</v>
      </c>
      <c r="V17" s="163"/>
      <c r="W17" s="158" t="str">
        <f t="shared" si="94"/>
        <v>Gamma</v>
      </c>
      <c r="X17" s="160">
        <f t="shared" si="95"/>
        <v>3.4522720030595853</v>
      </c>
      <c r="Y17" s="160" t="e">
        <f t="shared" si="96"/>
        <v>#REF!</v>
      </c>
      <c r="Z17" s="160">
        <f t="shared" si="97"/>
        <v>892.15323876827802</v>
      </c>
      <c r="AA17" s="160" t="e">
        <f t="shared" si="98"/>
        <v>#REF!</v>
      </c>
      <c r="AB17" s="160">
        <v>0</v>
      </c>
      <c r="AC17" s="160" t="e">
        <f t="shared" si="99"/>
        <v>#REF!</v>
      </c>
      <c r="AD17" s="160">
        <f t="shared" si="100"/>
        <v>944.15260338602343</v>
      </c>
      <c r="AE17" s="160">
        <f t="shared" si="101"/>
        <v>2788.235736134905</v>
      </c>
      <c r="AF17" s="160">
        <f t="shared" si="102"/>
        <v>6212.1923801931853</v>
      </c>
      <c r="AG17" s="160">
        <f t="shared" si="103"/>
        <v>3079.9556486386596</v>
      </c>
      <c r="AH17" s="160">
        <f t="shared" si="104"/>
        <v>1657.646647267032</v>
      </c>
      <c r="AI17" s="160">
        <f t="shared" si="105"/>
        <v>2747792.4071956319</v>
      </c>
      <c r="AJ17" s="158" t="str">
        <f t="shared" si="106"/>
        <v>Gamma</v>
      </c>
      <c r="AK17" s="161">
        <f t="shared" si="107"/>
        <v>0.55467024566612955</v>
      </c>
      <c r="AL17" s="161" t="e">
        <f t="shared" si="108"/>
        <v>#REF!</v>
      </c>
      <c r="AM17" s="161">
        <f t="shared" si="109"/>
        <v>34.254586663796985</v>
      </c>
      <c r="AN17" s="161" t="e">
        <f t="shared" si="110"/>
        <v>#REF!</v>
      </c>
      <c r="AO17" s="162">
        <v>0</v>
      </c>
      <c r="AP17" s="162" t="e">
        <f t="shared" si="111"/>
        <v>#REF!</v>
      </c>
      <c r="AQ17" s="163">
        <f t="shared" si="112"/>
        <v>0.25209775935643841</v>
      </c>
      <c r="AR17" s="163">
        <f t="shared" si="113"/>
        <v>9.5359898444744804</v>
      </c>
      <c r="AS17" s="163">
        <f t="shared" si="114"/>
        <v>69.820127120546488</v>
      </c>
      <c r="AT17" s="163">
        <f t="shared" si="115"/>
        <v>19</v>
      </c>
      <c r="AU17" s="163">
        <f t="shared" si="116"/>
        <v>25.511510080983893</v>
      </c>
      <c r="AV17" s="163">
        <f t="shared" si="117"/>
        <v>650.83714661214276</v>
      </c>
      <c r="AW17" s="252"/>
      <c r="BA17" s="67">
        <f t="shared" si="118"/>
        <v>1041.4171604719702</v>
      </c>
      <c r="BB17" s="68">
        <f t="shared" si="119"/>
        <v>3079.9556486386596</v>
      </c>
      <c r="BC17" s="68">
        <f t="shared" si="120"/>
        <v>54614.964500273076</v>
      </c>
      <c r="BD17" s="42">
        <f t="shared" si="121"/>
        <v>3.4522720030595853</v>
      </c>
      <c r="BE17" s="42">
        <f t="shared" si="122"/>
        <v>1.1208836739533862E-3</v>
      </c>
      <c r="BF17" s="42">
        <f t="shared" si="123"/>
        <v>892.15323876827802</v>
      </c>
      <c r="BG17" s="69">
        <f t="shared" si="124"/>
        <v>944.15260338602343</v>
      </c>
      <c r="BH17" s="69">
        <f t="shared" si="125"/>
        <v>3079.9556486386596</v>
      </c>
      <c r="BI17" s="69">
        <f t="shared" si="126"/>
        <v>2788.235736134905</v>
      </c>
      <c r="BJ17" s="69">
        <f t="shared" si="127"/>
        <v>6212.1923801931853</v>
      </c>
      <c r="BK17" s="70">
        <f t="shared" si="128"/>
        <v>1657.646647267032</v>
      </c>
      <c r="BL17" s="71">
        <f t="shared" si="129"/>
        <v>0.33812732366203929</v>
      </c>
      <c r="BM17" s="46">
        <v>6</v>
      </c>
      <c r="BN17" s="47">
        <v>1.6353828954369192</v>
      </c>
      <c r="BO17" s="47">
        <v>5.3481208434097312</v>
      </c>
      <c r="BP17" s="47">
        <v>12.591587244072656</v>
      </c>
      <c r="BQ17" s="47">
        <f t="shared" si="130"/>
        <v>0.30578645160049706</v>
      </c>
      <c r="BR17" s="46">
        <f t="shared" si="131"/>
        <v>7</v>
      </c>
      <c r="BS17" s="47">
        <v>2.1673499186219098</v>
      </c>
      <c r="BT17" s="47">
        <v>6.3458113725816272</v>
      </c>
      <c r="BU17" s="47">
        <v>14.067140433005996</v>
      </c>
      <c r="BV17" s="47">
        <f t="shared" si="132"/>
        <v>0.34154023675938233</v>
      </c>
      <c r="BW17" s="47">
        <f t="shared" si="133"/>
        <v>6.9045440061191705</v>
      </c>
      <c r="BX17" s="47">
        <f t="shared" si="134"/>
        <v>2.1165704777119605</v>
      </c>
      <c r="BY17" s="47">
        <f t="shared" si="135"/>
        <v>6.2505758315340332</v>
      </c>
      <c r="BZ17" s="48">
        <f t="shared" si="136"/>
        <v>13.926290036832336</v>
      </c>
      <c r="CB17" s="39">
        <f t="shared" si="137"/>
        <v>0.3</v>
      </c>
      <c r="CC17" s="40">
        <f t="shared" si="138"/>
        <v>19</v>
      </c>
      <c r="CD17" s="40">
        <f t="shared" si="139"/>
        <v>125</v>
      </c>
      <c r="CE17" s="120">
        <f t="shared" si="140"/>
        <v>0.55467024566612955</v>
      </c>
      <c r="CF17" s="42">
        <f t="shared" si="141"/>
        <v>2.9193170824533134E-2</v>
      </c>
      <c r="CG17" s="41">
        <f t="shared" si="142"/>
        <v>34.254586663796985</v>
      </c>
      <c r="CH17" s="43">
        <f t="shared" si="143"/>
        <v>0.25209775935643841</v>
      </c>
      <c r="CI17" s="43">
        <f t="shared" si="144"/>
        <v>19</v>
      </c>
      <c r="CJ17" s="43">
        <f t="shared" si="145"/>
        <v>9.5359898444744804</v>
      </c>
      <c r="CK17" s="43">
        <f t="shared" si="146"/>
        <v>69.820127120546488</v>
      </c>
      <c r="CL17" s="44">
        <f t="shared" si="147"/>
        <v>25.511510080983893</v>
      </c>
      <c r="CM17" s="45">
        <f t="shared" si="148"/>
        <v>1.5789473684210527E-2</v>
      </c>
      <c r="CN17" s="46">
        <v>1</v>
      </c>
      <c r="CO17" s="47">
        <v>3.9321400005324098E-3</v>
      </c>
      <c r="CP17" s="47">
        <v>0.4549364250484666</v>
      </c>
      <c r="CQ17" s="47">
        <v>3.841459149489757</v>
      </c>
      <c r="CR17" s="47">
        <f t="shared" si="149"/>
        <v>8.6432736180961992E-3</v>
      </c>
      <c r="CS17" s="46">
        <f t="shared" si="150"/>
        <v>2</v>
      </c>
      <c r="CT17" s="47">
        <v>0.10258658882167279</v>
      </c>
      <c r="CU17" s="47">
        <v>1.3862943760896287</v>
      </c>
      <c r="CV17" s="47">
        <v>5.9914645471914136</v>
      </c>
      <c r="CW17" s="47">
        <f t="shared" si="151"/>
        <v>7.4000580678284605E-2</v>
      </c>
      <c r="CX17" s="47">
        <f t="shared" si="152"/>
        <v>1.1093404913322591</v>
      </c>
      <c r="CY17" s="47">
        <f t="shared" si="153"/>
        <v>1.4719065906749108E-2</v>
      </c>
      <c r="CZ17" s="47">
        <f t="shared" si="154"/>
        <v>0.55677156102151337</v>
      </c>
      <c r="DA17" s="48">
        <f t="shared" si="155"/>
        <v>4.0765417960414654</v>
      </c>
    </row>
    <row r="18" spans="1:105" s="143" customFormat="1" x14ac:dyDescent="0.3">
      <c r="A18" s="158">
        <f t="shared" si="30"/>
        <v>13</v>
      </c>
      <c r="B18" s="158">
        <f t="shared" si="31"/>
        <v>13</v>
      </c>
      <c r="C18" s="74" t="s">
        <v>1326</v>
      </c>
      <c r="D18" s="72" t="s">
        <v>1333</v>
      </c>
      <c r="E18" s="250" t="s">
        <v>1389</v>
      </c>
      <c r="F18" s="158" t="s">
        <v>1288</v>
      </c>
      <c r="G18" s="159" t="s">
        <v>1388</v>
      </c>
      <c r="H18" s="157" t="e">
        <f t="shared" si="4"/>
        <v>#N/A</v>
      </c>
      <c r="I18" s="157" t="e">
        <f t="shared" si="4"/>
        <v>#N/A</v>
      </c>
      <c r="J18" s="223">
        <f>672.1*8760/1000000</f>
        <v>5.8875960000000003</v>
      </c>
      <c r="K18" s="157" t="e">
        <f t="shared" si="4"/>
        <v>#N/A</v>
      </c>
      <c r="L18" s="157" t="e">
        <f t="shared" si="4"/>
        <v>#N/A</v>
      </c>
      <c r="M18" s="222">
        <v>1</v>
      </c>
      <c r="N18" s="240" t="e">
        <f t="shared" si="4"/>
        <v>#N/A</v>
      </c>
      <c r="O18" s="240" t="e">
        <f t="shared" si="4"/>
        <v>#N/A</v>
      </c>
      <c r="P18" s="240" t="e">
        <f t="shared" si="4"/>
        <v>#N/A</v>
      </c>
      <c r="Q18" s="240" t="e">
        <f t="shared" si="4"/>
        <v>#N/A</v>
      </c>
      <c r="R18" s="243">
        <f>M18/J18</f>
        <v>0.16984861053645664</v>
      </c>
      <c r="S18" s="242" t="e">
        <f t="shared" si="5"/>
        <v>#N/A</v>
      </c>
      <c r="T18" s="242" t="e">
        <f t="shared" si="6"/>
        <v>#N/A</v>
      </c>
      <c r="U18" s="242" t="e">
        <f t="shared" si="6"/>
        <v>#N/A</v>
      </c>
      <c r="V18" s="226">
        <v>18.28</v>
      </c>
      <c r="W18" s="286" t="str">
        <f t="shared" si="94"/>
        <v>Exponential</v>
      </c>
      <c r="X18" s="160">
        <f t="shared" si="95"/>
        <v>5887596</v>
      </c>
      <c r="Y18" s="160" t="e">
        <f t="shared" si="96"/>
        <v>#REF!</v>
      </c>
      <c r="Z18" s="160">
        <f t="shared" si="97"/>
        <v>0</v>
      </c>
      <c r="AA18" s="160" t="e">
        <f t="shared" si="98"/>
        <v>#REF!</v>
      </c>
      <c r="AB18" s="160">
        <v>0</v>
      </c>
      <c r="AC18" s="160" t="e">
        <f t="shared" si="99"/>
        <v>#REF!</v>
      </c>
      <c r="AD18" s="160">
        <f t="shared" si="100"/>
        <v>301994.19486296526</v>
      </c>
      <c r="AE18" s="160">
        <f t="shared" si="101"/>
        <v>4080970.5676760115</v>
      </c>
      <c r="AF18" s="160">
        <f t="shared" si="102"/>
        <v>17637661.350847378</v>
      </c>
      <c r="AG18" s="160">
        <f t="shared" si="103"/>
        <v>5887596</v>
      </c>
      <c r="AH18" s="160">
        <f t="shared" si="104"/>
        <v>5887596</v>
      </c>
      <c r="AI18" s="160">
        <f t="shared" si="105"/>
        <v>34663786659216</v>
      </c>
      <c r="AJ18" s="158" t="str">
        <f t="shared" si="106"/>
        <v>Exponential</v>
      </c>
      <c r="AK18" s="161">
        <f t="shared" si="107"/>
        <v>18.28</v>
      </c>
      <c r="AL18" s="161" t="e">
        <f t="shared" si="108"/>
        <v>#REF!</v>
      </c>
      <c r="AM18" s="161">
        <f t="shared" si="109"/>
        <v>0</v>
      </c>
      <c r="AN18" s="161" t="e">
        <f t="shared" si="110"/>
        <v>#REF!</v>
      </c>
      <c r="AO18" s="162">
        <v>0</v>
      </c>
      <c r="AP18" s="162" t="e">
        <f t="shared" si="111"/>
        <v>#REF!</v>
      </c>
      <c r="AQ18" s="163">
        <f t="shared" si="112"/>
        <v>0.93764142140442464</v>
      </c>
      <c r="AR18" s="163">
        <f t="shared" si="113"/>
        <v>12.6707304606358</v>
      </c>
      <c r="AS18" s="163">
        <f t="shared" si="114"/>
        <v>54.761985960566939</v>
      </c>
      <c r="AT18" s="163">
        <f t="shared" si="115"/>
        <v>18.28</v>
      </c>
      <c r="AU18" s="163">
        <f t="shared" si="116"/>
        <v>18.28</v>
      </c>
      <c r="AV18" s="163">
        <f t="shared" si="117"/>
        <v>334.15840000000003</v>
      </c>
      <c r="AW18" s="252"/>
      <c r="BA18" s="67" t="e">
        <f t="shared" si="118"/>
        <v>#N/A</v>
      </c>
      <c r="BB18" s="68" t="e">
        <f t="shared" si="119"/>
        <v>#N/A</v>
      </c>
      <c r="BC18" s="68" t="e">
        <f t="shared" si="120"/>
        <v>#N/A</v>
      </c>
      <c r="BD18" s="42" t="e">
        <f t="shared" si="121"/>
        <v>#N/A</v>
      </c>
      <c r="BE18" s="42" t="e">
        <f t="shared" si="122"/>
        <v>#N/A</v>
      </c>
      <c r="BF18" s="42" t="e">
        <f t="shared" si="123"/>
        <v>#N/A</v>
      </c>
      <c r="BG18" s="69" t="e">
        <f t="shared" si="124"/>
        <v>#N/A</v>
      </c>
      <c r="BH18" s="69" t="e">
        <f t="shared" si="125"/>
        <v>#N/A</v>
      </c>
      <c r="BI18" s="69" t="e">
        <f t="shared" si="126"/>
        <v>#N/A</v>
      </c>
      <c r="BJ18" s="69" t="e">
        <f t="shared" si="127"/>
        <v>#N/A</v>
      </c>
      <c r="BK18" s="70" t="e">
        <f t="shared" si="128"/>
        <v>#N/A</v>
      </c>
      <c r="BL18" s="71" t="e">
        <f t="shared" si="129"/>
        <v>#N/A</v>
      </c>
      <c r="BM18" s="46">
        <v>4</v>
      </c>
      <c r="BN18" s="47">
        <v>0.71072302281597644</v>
      </c>
      <c r="BO18" s="47">
        <v>3.3566940013967228</v>
      </c>
      <c r="BP18" s="47">
        <v>9.487729036988851</v>
      </c>
      <c r="BQ18" s="47">
        <f t="shared" si="130"/>
        <v>0.21173303927025938</v>
      </c>
      <c r="BR18" s="46">
        <f t="shared" si="131"/>
        <v>5</v>
      </c>
      <c r="BS18" s="47">
        <v>1.1454762275641139</v>
      </c>
      <c r="BT18" s="47">
        <v>4.3514602221082166</v>
      </c>
      <c r="BU18" s="47">
        <v>11.070497754622684</v>
      </c>
      <c r="BV18" s="47">
        <f t="shared" si="132"/>
        <v>0.26323950331531426</v>
      </c>
      <c r="BW18" s="47" t="e">
        <f t="shared" si="133"/>
        <v>#N/A</v>
      </c>
      <c r="BX18" s="47" t="e">
        <f t="shared" si="134"/>
        <v>#N/A</v>
      </c>
      <c r="BY18" s="47" t="e">
        <f t="shared" si="135"/>
        <v>#N/A</v>
      </c>
      <c r="BZ18" s="48" t="e">
        <f t="shared" si="136"/>
        <v>#N/A</v>
      </c>
      <c r="CB18" s="39" t="e">
        <f t="shared" si="137"/>
        <v>#N/A</v>
      </c>
      <c r="CC18" s="40" t="e">
        <f t="shared" si="138"/>
        <v>#N/A</v>
      </c>
      <c r="CD18" s="40" t="e">
        <f t="shared" si="139"/>
        <v>#N/A</v>
      </c>
      <c r="CE18" s="120" t="e">
        <f t="shared" si="140"/>
        <v>#N/A</v>
      </c>
      <c r="CF18" s="42" t="e">
        <f t="shared" si="141"/>
        <v>#N/A</v>
      </c>
      <c r="CG18" s="41" t="e">
        <f t="shared" si="142"/>
        <v>#N/A</v>
      </c>
      <c r="CH18" s="43" t="e">
        <f t="shared" si="143"/>
        <v>#N/A</v>
      </c>
      <c r="CI18" s="43" t="e">
        <f t="shared" si="144"/>
        <v>#N/A</v>
      </c>
      <c r="CJ18" s="43" t="e">
        <f t="shared" si="145"/>
        <v>#N/A</v>
      </c>
      <c r="CK18" s="43" t="e">
        <f t="shared" si="146"/>
        <v>#N/A</v>
      </c>
      <c r="CL18" s="44" t="e">
        <f t="shared" si="147"/>
        <v>#N/A</v>
      </c>
      <c r="CM18" s="45" t="e">
        <f t="shared" si="148"/>
        <v>#N/A</v>
      </c>
      <c r="CN18" s="46">
        <v>1</v>
      </c>
      <c r="CO18" s="47">
        <v>3.9321400005324098E-3</v>
      </c>
      <c r="CP18" s="47">
        <v>0.4549364250484666</v>
      </c>
      <c r="CQ18" s="47">
        <v>3.841459149489757</v>
      </c>
      <c r="CR18" s="47">
        <f t="shared" si="149"/>
        <v>8.6432736180961992E-3</v>
      </c>
      <c r="CS18" s="46">
        <f t="shared" si="150"/>
        <v>2</v>
      </c>
      <c r="CT18" s="47">
        <v>0.10258658882167279</v>
      </c>
      <c r="CU18" s="47">
        <v>1.3862943760896287</v>
      </c>
      <c r="CV18" s="47">
        <v>5.9914645471914136</v>
      </c>
      <c r="CW18" s="47">
        <f t="shared" si="151"/>
        <v>7.4000580678284605E-2</v>
      </c>
      <c r="CX18" s="47" t="e">
        <f t="shared" si="152"/>
        <v>#N/A</v>
      </c>
      <c r="CY18" s="47" t="e">
        <f t="shared" si="153"/>
        <v>#N/A</v>
      </c>
      <c r="CZ18" s="47" t="e">
        <f t="shared" si="154"/>
        <v>#N/A</v>
      </c>
      <c r="DA18" s="48" t="e">
        <f t="shared" si="155"/>
        <v>#N/A</v>
      </c>
    </row>
    <row r="19" spans="1:105" s="143" customFormat="1" x14ac:dyDescent="0.3">
      <c r="A19" s="158">
        <f t="shared" si="30"/>
        <v>14</v>
      </c>
      <c r="B19" s="158">
        <f t="shared" si="31"/>
        <v>14</v>
      </c>
      <c r="C19" s="74" t="s">
        <v>1385</v>
      </c>
      <c r="D19" s="72" t="s">
        <v>1383</v>
      </c>
      <c r="E19" s="250" t="s">
        <v>1387</v>
      </c>
      <c r="F19" s="158" t="s">
        <v>1288</v>
      </c>
      <c r="G19" s="159" t="s">
        <v>1390</v>
      </c>
      <c r="H19" s="157" t="e">
        <f>VLOOKUP($G19,OREDA2009,H$3,0)</f>
        <v>#N/A</v>
      </c>
      <c r="I19" s="157" t="e">
        <f>VLOOKUP($G19,OREDA2009,I$3,0)</f>
        <v>#N/A</v>
      </c>
      <c r="J19" s="223">
        <f>1221.4*8760/1000000</f>
        <v>10.699464000000001</v>
      </c>
      <c r="K19" s="157" t="e">
        <f>VLOOKUP($G19,OREDA2009,K$3,0)</f>
        <v>#N/A</v>
      </c>
      <c r="L19" s="157" t="e">
        <f>VLOOKUP($G19,OREDA2009,L$3,0)</f>
        <v>#N/A</v>
      </c>
      <c r="M19" s="222">
        <v>1</v>
      </c>
      <c r="N19" s="240" t="e">
        <f t="shared" ref="N19:Q20" si="157">VLOOKUP($G19,OREDA2009,N$3,0)</f>
        <v>#N/A</v>
      </c>
      <c r="O19" s="240" t="e">
        <f t="shared" si="157"/>
        <v>#N/A</v>
      </c>
      <c r="P19" s="240" t="e">
        <f t="shared" si="157"/>
        <v>#N/A</v>
      </c>
      <c r="Q19" s="240" t="e">
        <f t="shared" si="157"/>
        <v>#N/A</v>
      </c>
      <c r="R19" s="243">
        <f>M19/J19</f>
        <v>9.346262579134805E-2</v>
      </c>
      <c r="S19" s="242" t="e">
        <f t="shared" si="5"/>
        <v>#N/A</v>
      </c>
      <c r="T19" s="242" t="e">
        <f t="shared" si="6"/>
        <v>#N/A</v>
      </c>
      <c r="U19" s="242" t="e">
        <f t="shared" si="6"/>
        <v>#N/A</v>
      </c>
      <c r="V19" s="226">
        <v>6</v>
      </c>
      <c r="W19" s="286" t="str">
        <f t="shared" ref="W19" si="158">IF(F19="OREDA","Gamma","Exponential")</f>
        <v>Exponential</v>
      </c>
      <c r="X19" s="160">
        <f t="shared" ref="X19" si="159">IF(W19="Gamma",BD19,1/R19*1000000)</f>
        <v>10699464</v>
      </c>
      <c r="Y19" s="160" t="e">
        <f t="shared" ref="Y19" si="160">VLOOKUP(C19,Export_Library,3,0)</f>
        <v>#REF!</v>
      </c>
      <c r="Z19" s="160">
        <f t="shared" ref="Z19" si="161">IF(W19="Gamma",BF19,0)</f>
        <v>0</v>
      </c>
      <c r="AA19" s="160" t="e">
        <f t="shared" ref="AA19" si="162">VLOOKUP(C19,Export_Library,4,0)</f>
        <v>#REF!</v>
      </c>
      <c r="AB19" s="160">
        <v>0</v>
      </c>
      <c r="AC19" s="160" t="e">
        <f t="shared" ref="AC19" si="163">VLOOKUP(C19,Export_Library,5,0)</f>
        <v>#REF!</v>
      </c>
      <c r="AD19" s="160">
        <f t="shared" ref="AD19" si="164">IF(W19="Gamma",BG19,-X19*LN(1-0.05))</f>
        <v>548810.75674099941</v>
      </c>
      <c r="AE19" s="160">
        <f t="shared" ref="AE19" si="165">IF(W19="Gamma",BI19,-X19*LN(1-0.5))</f>
        <v>7416303.3051026342</v>
      </c>
      <c r="AF19" s="160">
        <f t="shared" ref="AF19" si="166">IF(W19="Gamma",BJ19,-X19*LN(1-0.95))</f>
        <v>32052729.61452907</v>
      </c>
      <c r="AG19" s="160">
        <f t="shared" ref="AG19" si="167">IF(W19="Gamma",BH19,X19)</f>
        <v>10699464</v>
      </c>
      <c r="AH19" s="160">
        <f t="shared" ref="AH19" si="168">IF(W19="Gamma",BK19,X19)</f>
        <v>10699464</v>
      </c>
      <c r="AI19" s="160">
        <f t="shared" ref="AI19" si="169">AH19^2</f>
        <v>114478529887296</v>
      </c>
      <c r="AJ19" s="158" t="str">
        <f t="shared" ref="AJ19" si="170">IF(ISNUMBER(V19),"Exponential","Gamma")</f>
        <v>Exponential</v>
      </c>
      <c r="AK19" s="161">
        <f t="shared" ref="AK19" si="171">IF(AJ19="Gamma",CE19,V19)</f>
        <v>6</v>
      </c>
      <c r="AL19" s="161" t="e">
        <f t="shared" ref="AL19" si="172">VLOOKUP(C19,Export_Library,7,0)</f>
        <v>#REF!</v>
      </c>
      <c r="AM19" s="161">
        <f t="shared" ref="AM19" si="173">IF(AJ19="Gamma",CG19,0)</f>
        <v>0</v>
      </c>
      <c r="AN19" s="161" t="e">
        <f t="shared" ref="AN19" si="174">VLOOKUP(C19,Export_Library,8,0)</f>
        <v>#REF!</v>
      </c>
      <c r="AO19" s="162">
        <v>0</v>
      </c>
      <c r="AP19" s="162" t="e">
        <f t="shared" ref="AP19" si="175">VLOOKUP(C19,Export_Library,9,0)</f>
        <v>#REF!</v>
      </c>
      <c r="AQ19" s="163">
        <f t="shared" ref="AQ19" si="176">IF(AJ19="Gamma",CH19,-AK19*LN(1-0.05))</f>
        <v>0.30775976632530344</v>
      </c>
      <c r="AR19" s="163">
        <f t="shared" ref="AR19" si="177">IF(AJ19="Gamma",CJ19,-AK19*LN(1-0.5))</f>
        <v>4.1588830833596715</v>
      </c>
      <c r="AS19" s="163">
        <f t="shared" ref="AS19" si="178">IF(AJ19="Gamma",CK19,-AK19*LN(1-0.95))</f>
        <v>17.974393641323939</v>
      </c>
      <c r="AT19" s="163">
        <f t="shared" ref="AT19" si="179">IF(AJ19="Gamma",CI19,AK19)</f>
        <v>6</v>
      </c>
      <c r="AU19" s="163">
        <f t="shared" ref="AU19" si="180">IF(AJ19="Gamma",CL19,AK19)</f>
        <v>6</v>
      </c>
      <c r="AV19" s="163">
        <f t="shared" ref="AV19" si="181">AU19^2</f>
        <v>36</v>
      </c>
      <c r="AW19" s="72"/>
      <c r="AX19" s="141"/>
      <c r="AY19" s="141"/>
      <c r="AZ19" s="141"/>
      <c r="BA19" s="67" t="e">
        <f t="shared" ref="BA19" si="182">1000000/P19</f>
        <v>#N/A</v>
      </c>
      <c r="BB19" s="68" t="e">
        <f t="shared" ref="BB19" si="183">1000000/O19</f>
        <v>#N/A</v>
      </c>
      <c r="BC19" s="68" t="e">
        <f t="shared" ref="BC19" si="184">1000000/N19</f>
        <v>#N/A</v>
      </c>
      <c r="BD19" s="42" t="e">
        <f t="shared" ref="BD19" si="185">BW19/2</f>
        <v>#N/A</v>
      </c>
      <c r="BE19" s="42" t="e">
        <f t="shared" ref="BE19" si="186">BD19/BB19</f>
        <v>#N/A</v>
      </c>
      <c r="BF19" s="42" t="e">
        <f t="shared" ref="BF19" si="187">1/BE19</f>
        <v>#N/A</v>
      </c>
      <c r="BG19" s="69" t="e">
        <f t="shared" ref="BG19" si="188">1/2/BE19*BX19</f>
        <v>#N/A</v>
      </c>
      <c r="BH19" s="69" t="e">
        <f t="shared" ref="BH19" si="189">BD19/BE19</f>
        <v>#N/A</v>
      </c>
      <c r="BI19" s="69" t="e">
        <f t="shared" ref="BI19" si="190">1/2/BE19*BY19</f>
        <v>#N/A</v>
      </c>
      <c r="BJ19" s="69" t="e">
        <f t="shared" ref="BJ19" si="191">1/2/BE19*BZ19</f>
        <v>#N/A</v>
      </c>
      <c r="BK19" s="70" t="e">
        <f t="shared" ref="BK19" si="192">SQRT(BH19/BE19)</f>
        <v>#N/A</v>
      </c>
      <c r="BL19" s="71" t="e">
        <f t="shared" ref="BL19" si="193">BA19/BB19</f>
        <v>#N/A</v>
      </c>
      <c r="BM19" s="46" t="e">
        <v>#N/A</v>
      </c>
      <c r="BN19" s="47" t="e">
        <v>#N/A</v>
      </c>
      <c r="BO19" s="47" t="e">
        <v>#N/A</v>
      </c>
      <c r="BP19" s="47" t="e">
        <v>#N/A</v>
      </c>
      <c r="BQ19" s="47" t="e">
        <f t="shared" ref="BQ19" si="194">BN19/BO19</f>
        <v>#N/A</v>
      </c>
      <c r="BR19" s="46" t="e">
        <f t="shared" ref="BR19" si="195">BM19+1</f>
        <v>#N/A</v>
      </c>
      <c r="BS19" s="47" t="e">
        <v>#N/A</v>
      </c>
      <c r="BT19" s="47" t="e">
        <v>#N/A</v>
      </c>
      <c r="BU19" s="47" t="e">
        <v>#N/A</v>
      </c>
      <c r="BV19" s="47" t="e">
        <f t="shared" ref="BV19" si="196">BS19/BT19</f>
        <v>#N/A</v>
      </c>
      <c r="BW19" s="47" t="e">
        <f t="shared" ref="BW19" si="197">(BL19-BQ19)/(BV19-BQ19)*(BR19-BM19)+BM19</f>
        <v>#N/A</v>
      </c>
      <c r="BX19" s="47" t="e">
        <f t="shared" ref="BX19" si="198">(BL19-BQ19)/(BV19-BQ19)*(BS19-BN19)+BN19</f>
        <v>#N/A</v>
      </c>
      <c r="BY19" s="47" t="e">
        <f t="shared" ref="BY19" si="199">(BL19-BQ19)/(BV19-BQ19)*(BT19-BO19)+BO19</f>
        <v>#N/A</v>
      </c>
      <c r="BZ19" s="48" t="e">
        <f t="shared" ref="BZ19" si="200">(BL19-BQ19)/(BV19-BQ19)*(BU19-BP19)+BP19</f>
        <v>#N/A</v>
      </c>
      <c r="CA19" s="141"/>
      <c r="CB19" s="39" t="e">
        <f t="shared" ref="CB19" si="201">S19</f>
        <v>#N/A</v>
      </c>
      <c r="CC19" s="40" t="e">
        <f t="shared" ref="CC19" si="202">T19</f>
        <v>#N/A</v>
      </c>
      <c r="CD19" s="40" t="e">
        <f t="shared" ref="CD19" si="203">U19</f>
        <v>#N/A</v>
      </c>
      <c r="CE19" s="120" t="e">
        <f t="shared" ref="CE19" si="204">CX19/2</f>
        <v>#N/A</v>
      </c>
      <c r="CF19" s="42" t="e">
        <f t="shared" ref="CF19" si="205">CE19/CC19</f>
        <v>#N/A</v>
      </c>
      <c r="CG19" s="41" t="e">
        <f t="shared" ref="CG19" si="206">1/CF19</f>
        <v>#N/A</v>
      </c>
      <c r="CH19" s="43" t="e">
        <f t="shared" ref="CH19" si="207">1/2/CF19*CY19</f>
        <v>#N/A</v>
      </c>
      <c r="CI19" s="43" t="e">
        <f t="shared" ref="CI19" si="208">CE19/CF19</f>
        <v>#N/A</v>
      </c>
      <c r="CJ19" s="43" t="e">
        <f t="shared" ref="CJ19" si="209">1/2/CF19*CZ19</f>
        <v>#N/A</v>
      </c>
      <c r="CK19" s="43" t="e">
        <f t="shared" ref="CK19" si="210">1/2/CF19*DA19</f>
        <v>#N/A</v>
      </c>
      <c r="CL19" s="44" t="e">
        <f t="shared" ref="CL19" si="211">SQRT(CI19/CF19)</f>
        <v>#N/A</v>
      </c>
      <c r="CM19" s="45" t="e">
        <f t="shared" ref="CM19" si="212">CB19/CC19</f>
        <v>#N/A</v>
      </c>
      <c r="CN19" s="46" t="e">
        <v>#N/A</v>
      </c>
      <c r="CO19" s="47" t="e">
        <v>#N/A</v>
      </c>
      <c r="CP19" s="47" t="e">
        <v>#N/A</v>
      </c>
      <c r="CQ19" s="47" t="e">
        <v>#N/A</v>
      </c>
      <c r="CR19" s="47" t="e">
        <f t="shared" ref="CR19" si="213">CO19/CP19</f>
        <v>#N/A</v>
      </c>
      <c r="CS19" s="46" t="e">
        <f t="shared" ref="CS19" si="214">CN19+1</f>
        <v>#N/A</v>
      </c>
      <c r="CT19" s="47" t="e">
        <v>#N/A</v>
      </c>
      <c r="CU19" s="47" t="e">
        <v>#N/A</v>
      </c>
      <c r="CV19" s="47" t="e">
        <v>#N/A</v>
      </c>
      <c r="CW19" s="47" t="e">
        <f t="shared" ref="CW19" si="215">CT19/CU19</f>
        <v>#N/A</v>
      </c>
      <c r="CX19" s="47" t="e">
        <f t="shared" ref="CX19" si="216">(CM19-CR19)/(CW19-CR19)*(CS19-CN19)+CN19</f>
        <v>#N/A</v>
      </c>
      <c r="CY19" s="47" t="e">
        <f t="shared" ref="CY19" si="217">(CM19-CR19)/(CW19-CR19)*(CT19-CO19)+CO19</f>
        <v>#N/A</v>
      </c>
      <c r="CZ19" s="47" t="e">
        <f t="shared" ref="CZ19" si="218">(CM19-CR19)/(CW19-CR19)*(CU19-CP19)+CP19</f>
        <v>#N/A</v>
      </c>
      <c r="DA19" s="48" t="e">
        <f t="shared" ref="DA19" si="219">(CM19-CR19)/(CW19-CR19)*(CV19-CQ19)+CQ19</f>
        <v>#N/A</v>
      </c>
    </row>
    <row r="20" spans="1:105" s="143" customFormat="1" x14ac:dyDescent="0.3">
      <c r="A20" s="158">
        <f t="shared" si="30"/>
        <v>15</v>
      </c>
      <c r="B20" s="158">
        <f t="shared" si="31"/>
        <v>15</v>
      </c>
      <c r="C20" s="74" t="s">
        <v>1386</v>
      </c>
      <c r="D20" s="72" t="s">
        <v>1384</v>
      </c>
      <c r="E20" s="250" t="s">
        <v>1386</v>
      </c>
      <c r="F20" s="158" t="s">
        <v>1288</v>
      </c>
      <c r="G20" s="159" t="s">
        <v>1391</v>
      </c>
      <c r="H20" s="157" t="e">
        <f>VLOOKUP($G20,OREDA2009,H$3,0)</f>
        <v>#N/A</v>
      </c>
      <c r="I20" s="157" t="e">
        <f>VLOOKUP($G20,OREDA2009,I$3,0)</f>
        <v>#N/A</v>
      </c>
      <c r="J20" s="223">
        <f>560.6*8760/1000000</f>
        <v>4.9108559999999999</v>
      </c>
      <c r="K20" s="157" t="e">
        <f>VLOOKUP($G20,OREDA2009,K$3,0)</f>
        <v>#N/A</v>
      </c>
      <c r="L20" s="157" t="e">
        <f>VLOOKUP($G20,OREDA2009,L$3,0)</f>
        <v>#N/A</v>
      </c>
      <c r="M20" s="222">
        <v>1</v>
      </c>
      <c r="N20" s="240" t="e">
        <f t="shared" si="157"/>
        <v>#N/A</v>
      </c>
      <c r="O20" s="240" t="e">
        <f t="shared" si="157"/>
        <v>#N/A</v>
      </c>
      <c r="P20" s="240" t="e">
        <f t="shared" si="157"/>
        <v>#N/A</v>
      </c>
      <c r="Q20" s="240" t="e">
        <f t="shared" si="157"/>
        <v>#N/A</v>
      </c>
      <c r="R20" s="243">
        <f>M20/J20</f>
        <v>0.2036304872307394</v>
      </c>
      <c r="S20" s="242" t="e">
        <f t="shared" si="5"/>
        <v>#N/A</v>
      </c>
      <c r="T20" s="242" t="e">
        <f t="shared" si="6"/>
        <v>#N/A</v>
      </c>
      <c r="U20" s="242" t="e">
        <f t="shared" si="6"/>
        <v>#N/A</v>
      </c>
      <c r="V20" s="226">
        <v>1.27</v>
      </c>
      <c r="W20" s="286" t="str">
        <f t="shared" ref="W20:W21" si="220">IF(F20="OREDA","Gamma","Exponential")</f>
        <v>Exponential</v>
      </c>
      <c r="X20" s="160">
        <f t="shared" ref="X20" si="221">IF(W20="Gamma",BD20,1/R20*1000000)</f>
        <v>4910856</v>
      </c>
      <c r="Y20" s="160" t="e">
        <f t="shared" ref="Y20" si="222">VLOOKUP(C20,Export_Library,3,0)</f>
        <v>#REF!</v>
      </c>
      <c r="Z20" s="160">
        <f t="shared" ref="Z20" si="223">IF(W20="Gamma",BF20,0)</f>
        <v>0</v>
      </c>
      <c r="AA20" s="160" t="e">
        <f t="shared" ref="AA20" si="224">VLOOKUP(C20,Export_Library,4,0)</f>
        <v>#REF!</v>
      </c>
      <c r="AB20" s="160">
        <v>0</v>
      </c>
      <c r="AC20" s="160" t="e">
        <f t="shared" ref="AC20" si="225">VLOOKUP(C20,Export_Library,5,0)</f>
        <v>#REF!</v>
      </c>
      <c r="AD20" s="160">
        <f t="shared" ref="AD20" si="226">IF(W20="Gamma",BG20,-X20*LN(1-0.05))</f>
        <v>251893.98250286907</v>
      </c>
      <c r="AE20" s="160">
        <f t="shared" ref="AE20" si="227">IF(W20="Gamma",BI20,-X20*LN(1-0.5))</f>
        <v>3403945.9905358907</v>
      </c>
      <c r="AF20" s="160">
        <f t="shared" ref="AF20" si="228">IF(W20="Gamma",BJ20,-X20*LN(1-0.95))</f>
        <v>14711609.809976254</v>
      </c>
      <c r="AG20" s="160">
        <f t="shared" ref="AG20" si="229">IF(W20="Gamma",BH20,X20)</f>
        <v>4910856</v>
      </c>
      <c r="AH20" s="160">
        <f t="shared" ref="AH20" si="230">IF(W20="Gamma",BK20,X20)</f>
        <v>4910856</v>
      </c>
      <c r="AI20" s="160">
        <f t="shared" ref="AI20" si="231">AH20^2</f>
        <v>24116506652736</v>
      </c>
      <c r="AJ20" s="158" t="str">
        <f t="shared" ref="AJ20" si="232">IF(ISNUMBER(V20),"Exponential","Gamma")</f>
        <v>Exponential</v>
      </c>
      <c r="AK20" s="161">
        <f t="shared" ref="AK20" si="233">IF(AJ20="Gamma",CE20,V20)</f>
        <v>1.27</v>
      </c>
      <c r="AL20" s="161" t="e">
        <f t="shared" ref="AL20" si="234">VLOOKUP(C20,Export_Library,7,0)</f>
        <v>#REF!</v>
      </c>
      <c r="AM20" s="161">
        <f t="shared" ref="AM20" si="235">IF(AJ20="Gamma",CG20,0)</f>
        <v>0</v>
      </c>
      <c r="AN20" s="161" t="e">
        <f t="shared" ref="AN20" si="236">VLOOKUP(C20,Export_Library,8,0)</f>
        <v>#REF!</v>
      </c>
      <c r="AO20" s="162">
        <v>0</v>
      </c>
      <c r="AP20" s="162" t="e">
        <f t="shared" ref="AP20" si="237">VLOOKUP(C20,Export_Library,9,0)</f>
        <v>#REF!</v>
      </c>
      <c r="AQ20" s="163">
        <f t="shared" ref="AQ20" si="238">IF(AJ20="Gamma",CH20,-AK20*LN(1-0.05))</f>
        <v>6.5142483872189239E-2</v>
      </c>
      <c r="AR20" s="163">
        <f t="shared" ref="AR20" si="239">IF(AJ20="Gamma",CJ20,-AK20*LN(1-0.5))</f>
        <v>0.88029691931113052</v>
      </c>
      <c r="AS20" s="163">
        <f t="shared" ref="AS20" si="240">IF(AJ20="Gamma",CK20,-AK20*LN(1-0.95))</f>
        <v>3.8045799874135673</v>
      </c>
      <c r="AT20" s="163">
        <f t="shared" ref="AT20" si="241">IF(AJ20="Gamma",CI20,AK20)</f>
        <v>1.27</v>
      </c>
      <c r="AU20" s="163">
        <f t="shared" ref="AU20" si="242">IF(AJ20="Gamma",CL20,AK20)</f>
        <v>1.27</v>
      </c>
      <c r="AV20" s="163">
        <f t="shared" ref="AV20" si="243">AU20^2</f>
        <v>1.6129</v>
      </c>
      <c r="AW20" s="72"/>
      <c r="AX20" s="141"/>
      <c r="AY20" s="141"/>
      <c r="AZ20" s="141"/>
      <c r="BA20" s="67" t="e">
        <f t="shared" ref="BA20" si="244">1000000/P20</f>
        <v>#N/A</v>
      </c>
      <c r="BB20" s="68" t="e">
        <f t="shared" ref="BB20" si="245">1000000/O20</f>
        <v>#N/A</v>
      </c>
      <c r="BC20" s="68" t="e">
        <f t="shared" ref="BC20" si="246">1000000/N20</f>
        <v>#N/A</v>
      </c>
      <c r="BD20" s="42" t="e">
        <f t="shared" ref="BD20" si="247">BW20/2</f>
        <v>#N/A</v>
      </c>
      <c r="BE20" s="42" t="e">
        <f t="shared" ref="BE20" si="248">BD20/BB20</f>
        <v>#N/A</v>
      </c>
      <c r="BF20" s="42" t="e">
        <f t="shared" ref="BF20" si="249">1/BE20</f>
        <v>#N/A</v>
      </c>
      <c r="BG20" s="69" t="e">
        <f t="shared" ref="BG20" si="250">1/2/BE20*BX20</f>
        <v>#N/A</v>
      </c>
      <c r="BH20" s="69" t="e">
        <f t="shared" ref="BH20" si="251">BD20/BE20</f>
        <v>#N/A</v>
      </c>
      <c r="BI20" s="69" t="e">
        <f t="shared" ref="BI20" si="252">1/2/BE20*BY20</f>
        <v>#N/A</v>
      </c>
      <c r="BJ20" s="69" t="e">
        <f t="shared" ref="BJ20" si="253">1/2/BE20*BZ20</f>
        <v>#N/A</v>
      </c>
      <c r="BK20" s="70" t="e">
        <f t="shared" ref="BK20" si="254">SQRT(BH20/BE20)</f>
        <v>#N/A</v>
      </c>
      <c r="BL20" s="71" t="e">
        <f t="shared" ref="BL20" si="255">BA20/BB20</f>
        <v>#N/A</v>
      </c>
      <c r="BM20" s="46" t="e">
        <v>#N/A</v>
      </c>
      <c r="BN20" s="47" t="e">
        <v>#N/A</v>
      </c>
      <c r="BO20" s="47" t="e">
        <v>#N/A</v>
      </c>
      <c r="BP20" s="47" t="e">
        <v>#N/A</v>
      </c>
      <c r="BQ20" s="47" t="e">
        <f t="shared" ref="BQ20" si="256">BN20/BO20</f>
        <v>#N/A</v>
      </c>
      <c r="BR20" s="46" t="e">
        <f t="shared" ref="BR20" si="257">BM20+1</f>
        <v>#N/A</v>
      </c>
      <c r="BS20" s="47" t="e">
        <v>#N/A</v>
      </c>
      <c r="BT20" s="47" t="e">
        <v>#N/A</v>
      </c>
      <c r="BU20" s="47" t="e">
        <v>#N/A</v>
      </c>
      <c r="BV20" s="47" t="e">
        <f t="shared" ref="BV20" si="258">BS20/BT20</f>
        <v>#N/A</v>
      </c>
      <c r="BW20" s="47" t="e">
        <f t="shared" ref="BW20" si="259">(BL20-BQ20)/(BV20-BQ20)*(BR20-BM20)+BM20</f>
        <v>#N/A</v>
      </c>
      <c r="BX20" s="47" t="e">
        <f t="shared" ref="BX20" si="260">(BL20-BQ20)/(BV20-BQ20)*(BS20-BN20)+BN20</f>
        <v>#N/A</v>
      </c>
      <c r="BY20" s="47" t="e">
        <f t="shared" ref="BY20" si="261">(BL20-BQ20)/(BV20-BQ20)*(BT20-BO20)+BO20</f>
        <v>#N/A</v>
      </c>
      <c r="BZ20" s="48" t="e">
        <f t="shared" ref="BZ20" si="262">(BL20-BQ20)/(BV20-BQ20)*(BU20-BP20)+BP20</f>
        <v>#N/A</v>
      </c>
      <c r="CA20" s="141"/>
      <c r="CB20" s="39" t="e">
        <f t="shared" ref="CB20" si="263">S20</f>
        <v>#N/A</v>
      </c>
      <c r="CC20" s="40" t="e">
        <f t="shared" ref="CC20" si="264">T20</f>
        <v>#N/A</v>
      </c>
      <c r="CD20" s="40" t="e">
        <f t="shared" ref="CD20" si="265">U20</f>
        <v>#N/A</v>
      </c>
      <c r="CE20" s="120" t="e">
        <f t="shared" ref="CE20" si="266">CX20/2</f>
        <v>#N/A</v>
      </c>
      <c r="CF20" s="42" t="e">
        <f t="shared" ref="CF20" si="267">CE20/CC20</f>
        <v>#N/A</v>
      </c>
      <c r="CG20" s="41" t="e">
        <f t="shared" ref="CG20" si="268">1/CF20</f>
        <v>#N/A</v>
      </c>
      <c r="CH20" s="43" t="e">
        <f t="shared" ref="CH20" si="269">1/2/CF20*CY20</f>
        <v>#N/A</v>
      </c>
      <c r="CI20" s="43" t="e">
        <f t="shared" ref="CI20" si="270">CE20/CF20</f>
        <v>#N/A</v>
      </c>
      <c r="CJ20" s="43" t="e">
        <f t="shared" ref="CJ20" si="271">1/2/CF20*CZ20</f>
        <v>#N/A</v>
      </c>
      <c r="CK20" s="43" t="e">
        <f t="shared" ref="CK20" si="272">1/2/CF20*DA20</f>
        <v>#N/A</v>
      </c>
      <c r="CL20" s="44" t="e">
        <f t="shared" ref="CL20" si="273">SQRT(CI20/CF20)</f>
        <v>#N/A</v>
      </c>
      <c r="CM20" s="45" t="e">
        <f t="shared" ref="CM20" si="274">CB20/CC20</f>
        <v>#N/A</v>
      </c>
      <c r="CN20" s="46" t="e">
        <v>#N/A</v>
      </c>
      <c r="CO20" s="47" t="e">
        <v>#N/A</v>
      </c>
      <c r="CP20" s="47" t="e">
        <v>#N/A</v>
      </c>
      <c r="CQ20" s="47" t="e">
        <v>#N/A</v>
      </c>
      <c r="CR20" s="47" t="e">
        <f t="shared" ref="CR20" si="275">CO20/CP20</f>
        <v>#N/A</v>
      </c>
      <c r="CS20" s="46" t="e">
        <f t="shared" ref="CS20" si="276">CN20+1</f>
        <v>#N/A</v>
      </c>
      <c r="CT20" s="47" t="e">
        <v>#N/A</v>
      </c>
      <c r="CU20" s="47" t="e">
        <v>#N/A</v>
      </c>
      <c r="CV20" s="47" t="e">
        <v>#N/A</v>
      </c>
      <c r="CW20" s="47" t="e">
        <f t="shared" ref="CW20" si="277">CT20/CU20</f>
        <v>#N/A</v>
      </c>
      <c r="CX20" s="47" t="e">
        <f t="shared" ref="CX20" si="278">(CM20-CR20)/(CW20-CR20)*(CS20-CN20)+CN20</f>
        <v>#N/A</v>
      </c>
      <c r="CY20" s="47" t="e">
        <f t="shared" ref="CY20" si="279">(CM20-CR20)/(CW20-CR20)*(CT20-CO20)+CO20</f>
        <v>#N/A</v>
      </c>
      <c r="CZ20" s="47" t="e">
        <f t="shared" ref="CZ20" si="280">(CM20-CR20)/(CW20-CR20)*(CU20-CP20)+CP20</f>
        <v>#N/A</v>
      </c>
      <c r="DA20" s="48" t="e">
        <f t="shared" ref="DA20" si="281">(CM20-CR20)/(CW20-CR20)*(CV20-CQ20)+CQ20</f>
        <v>#N/A</v>
      </c>
    </row>
    <row r="21" spans="1:105" s="143" customFormat="1" x14ac:dyDescent="0.3">
      <c r="A21" s="158">
        <f t="shared" si="30"/>
        <v>16</v>
      </c>
      <c r="B21" s="158">
        <f t="shared" si="31"/>
        <v>16</v>
      </c>
      <c r="C21" s="74" t="s">
        <v>1342</v>
      </c>
      <c r="D21" s="72" t="s">
        <v>1340</v>
      </c>
      <c r="E21" s="250" t="s">
        <v>1374</v>
      </c>
      <c r="F21" s="158" t="s">
        <v>1365</v>
      </c>
      <c r="G21" s="159" t="s">
        <v>1377</v>
      </c>
      <c r="H21" s="157" t="e">
        <f t="shared" ref="H21:Q21" si="282">VLOOKUP($G21,OREDA2009,H$3,0)</f>
        <v>#N/A</v>
      </c>
      <c r="I21" s="157" t="e">
        <f t="shared" si="282"/>
        <v>#N/A</v>
      </c>
      <c r="J21" s="223">
        <v>1</v>
      </c>
      <c r="K21" s="157" t="e">
        <f t="shared" si="282"/>
        <v>#N/A</v>
      </c>
      <c r="L21" s="157" t="e">
        <f t="shared" si="282"/>
        <v>#N/A</v>
      </c>
      <c r="M21" s="222">
        <f>0.00349315068493151</f>
        <v>3.4931506849315099E-3</v>
      </c>
      <c r="N21" s="240" t="e">
        <f t="shared" si="282"/>
        <v>#N/A</v>
      </c>
      <c r="O21" s="240" t="e">
        <f t="shared" si="282"/>
        <v>#N/A</v>
      </c>
      <c r="P21" s="240" t="e">
        <f t="shared" si="282"/>
        <v>#N/A</v>
      </c>
      <c r="Q21" s="240" t="e">
        <f t="shared" si="282"/>
        <v>#N/A</v>
      </c>
      <c r="R21" s="285">
        <f>M21/J21</f>
        <v>3.4931506849315099E-3</v>
      </c>
      <c r="S21" s="242" t="e">
        <f>IF(VLOOKUP($G21,OREDA2009,S$3,0)="-",0.3,VLOOKUP($G21,OREDA2009,S$3,0))</f>
        <v>#N/A</v>
      </c>
      <c r="T21" s="242" t="e">
        <f>VLOOKUP($G21,OREDA2009,T$3,0)</f>
        <v>#N/A</v>
      </c>
      <c r="U21" s="242" t="e">
        <f t="shared" si="6"/>
        <v>#N/A</v>
      </c>
      <c r="V21" s="226">
        <v>36</v>
      </c>
      <c r="W21" s="286" t="str">
        <f t="shared" si="220"/>
        <v>Exponential</v>
      </c>
      <c r="X21" s="160">
        <f>IF(W21="Gamma",BD21,1/R21*1000000)</f>
        <v>286274509.80392134</v>
      </c>
      <c r="Y21" s="160" t="e">
        <f>VLOOKUP(C21,Export_Library,3,0)</f>
        <v>#REF!</v>
      </c>
      <c r="Z21" s="160">
        <f>IF(W21="Gamma",BF21,0)</f>
        <v>0</v>
      </c>
      <c r="AA21" s="160" t="e">
        <f>VLOOKUP(C21,Export_Library,4,0)</f>
        <v>#REF!</v>
      </c>
      <c r="AB21" s="160">
        <v>0</v>
      </c>
      <c r="AC21" s="160" t="e">
        <f>VLOOKUP(C21,Export_Library,5,0)</f>
        <v>#REF!</v>
      </c>
      <c r="AD21" s="160">
        <f>IF(W21="Gamma",BG21,-X21*LN(1-0.05))</f>
        <v>14683962.707024271</v>
      </c>
      <c r="AE21" s="160">
        <f>IF(W21="Gamma",BI21,-X21*LN(1-0.5))</f>
        <v>198430369.33676851</v>
      </c>
      <c r="AF21" s="160">
        <f>IF(W21="Gamma",BJ21,-X21*LN(1-0.95))</f>
        <v>857601788.11545527</v>
      </c>
      <c r="AG21" s="160">
        <f>IF(W21="Gamma",BH21,X21)</f>
        <v>286274509.80392134</v>
      </c>
      <c r="AH21" s="160">
        <f>IF(W21="Gamma",BK21,X21)</f>
        <v>286274509.80392134</v>
      </c>
      <c r="AI21" s="160">
        <f>AH21^2</f>
        <v>8.1953094963475456E+16</v>
      </c>
      <c r="AJ21" s="158" t="str">
        <f>IF(ISNUMBER(V21),"Exponential","Gamma")</f>
        <v>Exponential</v>
      </c>
      <c r="AK21" s="161">
        <f>IF(AJ21="Gamma",CE21,V21)</f>
        <v>36</v>
      </c>
      <c r="AL21" s="161" t="e">
        <f>VLOOKUP(C21,Export_Library,7,0)</f>
        <v>#REF!</v>
      </c>
      <c r="AM21" s="161">
        <f>IF(AJ21="Gamma",CG21,0)</f>
        <v>0</v>
      </c>
      <c r="AN21" s="161" t="e">
        <f>VLOOKUP(C21,Export_Library,8,0)</f>
        <v>#REF!</v>
      </c>
      <c r="AO21" s="162">
        <v>0</v>
      </c>
      <c r="AP21" s="162" t="e">
        <f>VLOOKUP(C21,Export_Library,9,0)</f>
        <v>#REF!</v>
      </c>
      <c r="AQ21" s="163">
        <f>IF(AJ21="Gamma",CH21,-AK21*LN(1-0.05))</f>
        <v>1.8465585979518209</v>
      </c>
      <c r="AR21" s="163">
        <f>IF(AJ21="Gamma",CJ21,-AK21*LN(1-0.5))</f>
        <v>24.953298500158031</v>
      </c>
      <c r="AS21" s="163">
        <f>IF(AJ21="Gamma",CK21,-AK21*LN(1-0.95))</f>
        <v>107.84636184794364</v>
      </c>
      <c r="AT21" s="163">
        <f>IF(AJ21="Gamma",CI21,AK21)</f>
        <v>36</v>
      </c>
      <c r="AU21" s="163">
        <f>IF(AJ21="Gamma",CL21,AK21)</f>
        <v>36</v>
      </c>
      <c r="AV21" s="163">
        <f>AU21^2</f>
        <v>1296</v>
      </c>
      <c r="AW21" s="252"/>
      <c r="BA21" s="67" t="e">
        <f>1000000/P21</f>
        <v>#N/A</v>
      </c>
      <c r="BB21" s="68" t="e">
        <f>1000000/O21</f>
        <v>#N/A</v>
      </c>
      <c r="BC21" s="68" t="e">
        <f>1000000/N21</f>
        <v>#N/A</v>
      </c>
      <c r="BD21" s="42" t="e">
        <f>BW21/2</f>
        <v>#N/A</v>
      </c>
      <c r="BE21" s="42" t="e">
        <f>BD21/BB21</f>
        <v>#N/A</v>
      </c>
      <c r="BF21" s="42" t="e">
        <f>1/BE21</f>
        <v>#N/A</v>
      </c>
      <c r="BG21" s="69" t="e">
        <f>1/2/BE21*BX21</f>
        <v>#N/A</v>
      </c>
      <c r="BH21" s="69" t="e">
        <f>BD21/BE21</f>
        <v>#N/A</v>
      </c>
      <c r="BI21" s="69" t="e">
        <f>1/2/BE21*BY21</f>
        <v>#N/A</v>
      </c>
      <c r="BJ21" s="69" t="e">
        <f>1/2/BE21*BZ21</f>
        <v>#N/A</v>
      </c>
      <c r="BK21" s="70" t="e">
        <f>SQRT(BH21/BE21)</f>
        <v>#N/A</v>
      </c>
      <c r="BL21" s="71" t="e">
        <f>BA21/BB21</f>
        <v>#N/A</v>
      </c>
      <c r="BM21" s="46" t="e">
        <v>#N/A</v>
      </c>
      <c r="BN21" s="47" t="e">
        <v>#N/A</v>
      </c>
      <c r="BO21" s="47" t="e">
        <v>#N/A</v>
      </c>
      <c r="BP21" s="47" t="e">
        <v>#N/A</v>
      </c>
      <c r="BQ21" s="47" t="e">
        <f>BN21/BO21</f>
        <v>#N/A</v>
      </c>
      <c r="BR21" s="46" t="e">
        <f>BM21+1</f>
        <v>#N/A</v>
      </c>
      <c r="BS21" s="47" t="e">
        <v>#N/A</v>
      </c>
      <c r="BT21" s="47" t="e">
        <v>#N/A</v>
      </c>
      <c r="BU21" s="47" t="e">
        <v>#N/A</v>
      </c>
      <c r="BV21" s="47" t="e">
        <f>BS21/BT21</f>
        <v>#N/A</v>
      </c>
      <c r="BW21" s="47" t="e">
        <f>(BL21-BQ21)/(BV21-BQ21)*(BR21-BM21)+BM21</f>
        <v>#N/A</v>
      </c>
      <c r="BX21" s="47" t="e">
        <f>(BL21-BQ21)/(BV21-BQ21)*(BS21-BN21)+BN21</f>
        <v>#N/A</v>
      </c>
      <c r="BY21" s="47" t="e">
        <f>(BL21-BQ21)/(BV21-BQ21)*(BT21-BO21)+BO21</f>
        <v>#N/A</v>
      </c>
      <c r="BZ21" s="48" t="e">
        <f>(BL21-BQ21)/(BV21-BQ21)*(BU21-BP21)+BP21</f>
        <v>#N/A</v>
      </c>
      <c r="CB21" s="39" t="e">
        <f>S21</f>
        <v>#N/A</v>
      </c>
      <c r="CC21" s="40" t="e">
        <f>T21</f>
        <v>#N/A</v>
      </c>
      <c r="CD21" s="40" t="e">
        <f>U21</f>
        <v>#N/A</v>
      </c>
      <c r="CE21" s="120" t="e">
        <f>CX21/2</f>
        <v>#N/A</v>
      </c>
      <c r="CF21" s="42" t="e">
        <f>CE21/CC21</f>
        <v>#N/A</v>
      </c>
      <c r="CG21" s="41" t="e">
        <f>1/CF21</f>
        <v>#N/A</v>
      </c>
      <c r="CH21" s="43" t="e">
        <f>1/2/CF21*CY21</f>
        <v>#N/A</v>
      </c>
      <c r="CI21" s="43" t="e">
        <f>CE21/CF21</f>
        <v>#N/A</v>
      </c>
      <c r="CJ21" s="43" t="e">
        <f>1/2/CF21*CZ21</f>
        <v>#N/A</v>
      </c>
      <c r="CK21" s="43" t="e">
        <f>1/2/CF21*DA21</f>
        <v>#N/A</v>
      </c>
      <c r="CL21" s="44" t="e">
        <f>SQRT(CI21/CF21)</f>
        <v>#N/A</v>
      </c>
      <c r="CM21" s="45" t="e">
        <f>CB21/CC21</f>
        <v>#N/A</v>
      </c>
      <c r="CN21" s="46" t="e">
        <v>#N/A</v>
      </c>
      <c r="CO21" s="47" t="e">
        <v>#N/A</v>
      </c>
      <c r="CP21" s="47" t="e">
        <v>#N/A</v>
      </c>
      <c r="CQ21" s="47" t="e">
        <v>#N/A</v>
      </c>
      <c r="CR21" s="47" t="e">
        <f>CO21/CP21</f>
        <v>#N/A</v>
      </c>
      <c r="CS21" s="46" t="e">
        <f>CN21+1</f>
        <v>#N/A</v>
      </c>
      <c r="CT21" s="47" t="e">
        <v>#N/A</v>
      </c>
      <c r="CU21" s="47" t="e">
        <v>#N/A</v>
      </c>
      <c r="CV21" s="47" t="e">
        <v>#N/A</v>
      </c>
      <c r="CW21" s="47" t="e">
        <f>CT21/CU21</f>
        <v>#N/A</v>
      </c>
      <c r="CX21" s="47" t="e">
        <f>(CM21-CR21)/(CW21-CR21)*(CS21-CN21)+CN21</f>
        <v>#N/A</v>
      </c>
      <c r="CY21" s="47" t="e">
        <f>(CM21-CR21)/(CW21-CR21)*(CT21-CO21)+CO21</f>
        <v>#N/A</v>
      </c>
      <c r="CZ21" s="47" t="e">
        <f>(CM21-CR21)/(CW21-CR21)*(CU21-CP21)+CP21</f>
        <v>#N/A</v>
      </c>
      <c r="DA21" s="48" t="e">
        <f>(CM21-CR21)/(CW21-CR21)*(CV21-CQ21)+CQ21</f>
        <v>#N/A</v>
      </c>
    </row>
    <row r="22" spans="1:105" s="143" customFormat="1" x14ac:dyDescent="0.3">
      <c r="A22" s="158">
        <f t="shared" si="30"/>
        <v>17</v>
      </c>
      <c r="B22" s="158">
        <f t="shared" si="31"/>
        <v>17</v>
      </c>
      <c r="C22" s="74" t="s">
        <v>1334</v>
      </c>
      <c r="D22" s="72" t="s">
        <v>1335</v>
      </c>
      <c r="E22" s="196" t="s">
        <v>1028</v>
      </c>
      <c r="F22" s="158" t="s">
        <v>423</v>
      </c>
      <c r="G22" s="221" t="s">
        <v>1027</v>
      </c>
      <c r="H22" s="157">
        <f t="shared" si="4"/>
        <v>50</v>
      </c>
      <c r="I22" s="157">
        <f t="shared" si="4"/>
        <v>5</v>
      </c>
      <c r="J22" s="157">
        <f t="shared" si="4"/>
        <v>0.84670000000000001</v>
      </c>
      <c r="K22" s="157">
        <f t="shared" si="4"/>
        <v>0.84040000000000004</v>
      </c>
      <c r="L22" s="157" t="str">
        <f t="shared" si="4"/>
        <v>All Modes</v>
      </c>
      <c r="M22" s="157">
        <f t="shared" si="4"/>
        <v>16</v>
      </c>
      <c r="N22" s="240">
        <f t="shared" si="4"/>
        <v>1.46</v>
      </c>
      <c r="O22" s="240">
        <f t="shared" si="4"/>
        <v>27.77</v>
      </c>
      <c r="P22" s="240">
        <f t="shared" si="4"/>
        <v>82.71</v>
      </c>
      <c r="Q22" s="240">
        <f t="shared" si="4"/>
        <v>27.58</v>
      </c>
      <c r="R22" s="240">
        <f t="shared" si="4"/>
        <v>19.04</v>
      </c>
      <c r="S22" s="242">
        <f t="shared" si="5"/>
        <v>0.3</v>
      </c>
      <c r="T22" s="242">
        <f t="shared" si="6"/>
        <v>4.5999999999999996</v>
      </c>
      <c r="U22" s="242">
        <f t="shared" si="6"/>
        <v>11</v>
      </c>
      <c r="V22" s="163"/>
      <c r="W22" s="158" t="str">
        <f t="shared" si="7"/>
        <v>Gamma</v>
      </c>
      <c r="X22" s="160">
        <f t="shared" si="8"/>
        <v>3.4190461078823828</v>
      </c>
      <c r="Y22" s="160" t="e">
        <f t="shared" ref="Y22:Y23" si="283">VLOOKUP(C22,Export_Library,3,0)</f>
        <v>#REF!</v>
      </c>
      <c r="Z22" s="160">
        <f t="shared" si="9"/>
        <v>10532.201581070127</v>
      </c>
      <c r="AA22" s="160" t="e">
        <f t="shared" si="10"/>
        <v>#REF!</v>
      </c>
      <c r="AB22" s="160">
        <v>0</v>
      </c>
      <c r="AC22" s="160" t="e">
        <f t="shared" si="11"/>
        <v>#REF!</v>
      </c>
      <c r="AD22" s="160">
        <f t="shared" si="12"/>
        <v>10959.91595458711</v>
      </c>
      <c r="AE22" s="160">
        <f t="shared" si="13"/>
        <v>32567.028682460957</v>
      </c>
      <c r="AF22" s="160">
        <f t="shared" si="14"/>
        <v>72820.889195304291</v>
      </c>
      <c r="AG22" s="160">
        <f t="shared" si="15"/>
        <v>36010.082823190496</v>
      </c>
      <c r="AH22" s="160">
        <f t="shared" si="16"/>
        <v>19474.738797859991</v>
      </c>
      <c r="AI22" s="160">
        <f t="shared" si="17"/>
        <v>379265451.24487323</v>
      </c>
      <c r="AJ22" s="158" t="str">
        <f t="shared" si="18"/>
        <v>Gamma</v>
      </c>
      <c r="AK22" s="161">
        <f t="shared" si="19"/>
        <v>0.93280637032789437</v>
      </c>
      <c r="AL22" s="161" t="e">
        <f t="shared" si="20"/>
        <v>#REF!</v>
      </c>
      <c r="AM22" s="161">
        <f t="shared" si="21"/>
        <v>4.9313556878723244</v>
      </c>
      <c r="AN22" s="161" t="e">
        <f t="shared" si="22"/>
        <v>#REF!</v>
      </c>
      <c r="AO22" s="162">
        <v>0</v>
      </c>
      <c r="AP22" s="162" t="e">
        <f t="shared" si="23"/>
        <v>#REF!</v>
      </c>
      <c r="AQ22" s="163">
        <f t="shared" si="24"/>
        <v>0.22025576639179376</v>
      </c>
      <c r="AR22" s="163">
        <f t="shared" si="25"/>
        <v>3.1095445737748997</v>
      </c>
      <c r="AS22" s="163">
        <f t="shared" si="26"/>
        <v>14.060604869254236</v>
      </c>
      <c r="AT22" s="163">
        <f t="shared" si="27"/>
        <v>4.5999999999999996</v>
      </c>
      <c r="AU22" s="163">
        <f t="shared" si="28"/>
        <v>4.7627970945876639</v>
      </c>
      <c r="AV22" s="163">
        <f t="shared" si="29"/>
        <v>22.684236164212692</v>
      </c>
      <c r="AW22" s="252"/>
      <c r="BA22" s="67">
        <f t="shared" ref="BA22:BA23" si="284">1000000/P22</f>
        <v>12090.436464756378</v>
      </c>
      <c r="BB22" s="68">
        <f t="shared" ref="BB22:BB23" si="285">1000000/O22</f>
        <v>36010.082823190496</v>
      </c>
      <c r="BC22" s="68">
        <f t="shared" ref="BC22:BC23" si="286">1000000/N22</f>
        <v>684931.50684931513</v>
      </c>
      <c r="BD22" s="42">
        <f t="shared" ref="BD22:BD23" si="287">BW22/2</f>
        <v>3.4190461078823828</v>
      </c>
      <c r="BE22" s="42">
        <f t="shared" ref="BE22:BE23" si="288">BD22/BB22</f>
        <v>9.4946910415893765E-5</v>
      </c>
      <c r="BF22" s="42">
        <f t="shared" ref="BF22:BF23" si="289">1/BE22</f>
        <v>10532.201581070127</v>
      </c>
      <c r="BG22" s="69">
        <f t="shared" ref="BG22:BG23" si="290">1/2/BE22*BX22</f>
        <v>10959.91595458711</v>
      </c>
      <c r="BH22" s="69">
        <f t="shared" ref="BH22:BH23" si="291">BD22/BE22</f>
        <v>36010.082823190496</v>
      </c>
      <c r="BI22" s="69">
        <f t="shared" ref="BI22:BI23" si="292">1/2/BE22*BY22</f>
        <v>32567.028682460957</v>
      </c>
      <c r="BJ22" s="69">
        <f t="shared" ref="BJ22:BJ23" si="293">1/2/BE22*BZ22</f>
        <v>72820.889195304291</v>
      </c>
      <c r="BK22" s="70">
        <f t="shared" ref="BK22:BK23" si="294">SQRT(BH22/BE22)</f>
        <v>19474.738797859991</v>
      </c>
      <c r="BL22" s="71">
        <f t="shared" ref="BL22:BL23" si="295">BA22/BB22</f>
        <v>0.3357514206262846</v>
      </c>
      <c r="BM22" s="46">
        <f t="shared" ref="BM22:BM23" si="296">VLOOKUP(BL22,Upper_Chi_Square,2,1)</f>
        <v>6</v>
      </c>
      <c r="BN22" s="47">
        <f t="shared" ref="BN22:BN23" si="297">VLOOKUP(BL22,Upper_Chi_Square,3,1)</f>
        <v>1.6353828954369192</v>
      </c>
      <c r="BO22" s="47">
        <f t="shared" ref="BO22:BO23" si="298">VLOOKUP(BL22,Upper_Chi_Square,4,1)</f>
        <v>5.3481208434097312</v>
      </c>
      <c r="BP22" s="47">
        <f t="shared" ref="BP22:BP23" si="299">VLOOKUP(BL22,Upper_Chi_Square,5,1)</f>
        <v>12.591587244072656</v>
      </c>
      <c r="BQ22" s="47">
        <f t="shared" ref="BQ22:BQ23" si="300">BN22/BO22</f>
        <v>0.30578645160049706</v>
      </c>
      <c r="BR22" s="46">
        <f t="shared" ref="BR22:BR23" si="301">BM22+1</f>
        <v>7</v>
      </c>
      <c r="BS22" s="47">
        <f t="shared" ref="BS22:BS23" si="302">VLOOKUP(BR22,Upper_Chi_Reducida,2,0)</f>
        <v>2.1673499186219098</v>
      </c>
      <c r="BT22" s="47">
        <f t="shared" ref="BT22:BT23" si="303">VLOOKUP(BR22,Upper_Chi_Reducida,3,0)</f>
        <v>6.3458113725816272</v>
      </c>
      <c r="BU22" s="47">
        <f t="shared" ref="BU22:BU23" si="304">VLOOKUP(BR22,Upper_Chi_Reducida,4,0)</f>
        <v>14.067140433005996</v>
      </c>
      <c r="BV22" s="47">
        <f t="shared" ref="BV22:BV23" si="305">BS22/BT22</f>
        <v>0.34154023675938233</v>
      </c>
      <c r="BW22" s="47">
        <f t="shared" ref="BW22:BW23" si="306">(BL22-BQ22)/(BV22-BQ22)*(BR22-BM22)+BM22</f>
        <v>6.8380922157647657</v>
      </c>
      <c r="BX22" s="47">
        <f t="shared" ref="BX22:BX23" si="307">(BL22-BQ22)/(BV22-BQ22)*(BS22-BN22)+BN22</f>
        <v>2.0812203166118142</v>
      </c>
      <c r="BY22" s="47">
        <f t="shared" ref="BY22:BY23" si="308">(BL22-BQ22)/(BV22-BQ22)*(BT22-BO22)+BO22</f>
        <v>6.1842775096509266</v>
      </c>
      <c r="BZ22" s="48">
        <f t="shared" ref="BZ22:BZ23" si="309">(BL22-BQ22)/(BV22-BQ22)*(BU22-BP22)+BP22</f>
        <v>13.828236885664564</v>
      </c>
      <c r="CB22" s="39">
        <f t="shared" ref="CB22:CD23" si="310">S22</f>
        <v>0.3</v>
      </c>
      <c r="CC22" s="40">
        <f t="shared" si="310"/>
        <v>4.5999999999999996</v>
      </c>
      <c r="CD22" s="40">
        <f t="shared" si="310"/>
        <v>11</v>
      </c>
      <c r="CE22" s="120">
        <f t="shared" ref="CE22:CE23" si="311">CX22/2</f>
        <v>0.93280637032789437</v>
      </c>
      <c r="CF22" s="42">
        <f t="shared" ref="CF22:CF23" si="312">CE22/CC22</f>
        <v>0.20278399354954227</v>
      </c>
      <c r="CG22" s="41">
        <f t="shared" ref="CG22:CG23" si="313">1/CF22</f>
        <v>4.9313556878723244</v>
      </c>
      <c r="CH22" s="43">
        <f t="shared" ref="CH22:CH23" si="314">1/2/CF22*CY22</f>
        <v>0.22025576639179376</v>
      </c>
      <c r="CI22" s="43">
        <f t="shared" ref="CI22:CI23" si="315">CE22/CF22</f>
        <v>4.5999999999999996</v>
      </c>
      <c r="CJ22" s="43">
        <f t="shared" ref="CJ22:CJ23" si="316">1/2/CF22*CZ22</f>
        <v>3.1095445737748997</v>
      </c>
      <c r="CK22" s="43">
        <f t="shared" ref="CK22:CK23" si="317">1/2/CF22*DA22</f>
        <v>14.060604869254236</v>
      </c>
      <c r="CL22" s="44">
        <f t="shared" ref="CL22:CL23" si="318">SQRT(CI22/CF22)</f>
        <v>4.7627970945876639</v>
      </c>
      <c r="CM22" s="45">
        <f t="shared" ref="CM22:CM23" si="319">CB22/CC22</f>
        <v>6.5217391304347824E-2</v>
      </c>
      <c r="CN22" s="46">
        <f t="shared" ref="CN22:CN23" si="320">VLOOKUP(CM22,Upper_Chi_Square,2,1)</f>
        <v>1</v>
      </c>
      <c r="CO22" s="47">
        <f t="shared" ref="CO22:CO23" si="321">VLOOKUP(CM22,Upper_Chi_Square,3,1)</f>
        <v>3.9321400005324098E-3</v>
      </c>
      <c r="CP22" s="47">
        <f t="shared" ref="CP22:CP23" si="322">VLOOKUP(CM22,Upper_Chi_Square,4,1)</f>
        <v>0.4549364250484666</v>
      </c>
      <c r="CQ22" s="47">
        <f t="shared" ref="CQ22:CQ23" si="323">VLOOKUP(CM22,Upper_Chi_Square,5,1)</f>
        <v>3.841459149489757</v>
      </c>
      <c r="CR22" s="47">
        <f t="shared" ref="CR22:CR23" si="324">CO22/CP22</f>
        <v>8.6432736180961992E-3</v>
      </c>
      <c r="CS22" s="46">
        <f t="shared" ref="CS22:CS23" si="325">CN22+1</f>
        <v>2</v>
      </c>
      <c r="CT22" s="47">
        <f t="shared" ref="CT22:CT23" si="326">VLOOKUP(CS22,Upper_Chi_Reducida,2,0)</f>
        <v>0.10258658882167279</v>
      </c>
      <c r="CU22" s="47">
        <f t="shared" ref="CU22:CU23" si="327">VLOOKUP(CS22,Upper_Chi_Reducida,3,0)</f>
        <v>1.3862943760896287</v>
      </c>
      <c r="CV22" s="47">
        <f t="shared" ref="CV22:CV23" si="328">VLOOKUP(CS22,Upper_Chi_Reducida,4,0)</f>
        <v>5.9914645471914136</v>
      </c>
      <c r="CW22" s="47">
        <f t="shared" ref="CW22:CW23" si="329">CT22/CU22</f>
        <v>7.4000580678284605E-2</v>
      </c>
      <c r="CX22" s="47">
        <f t="shared" ref="CX22:CX23" si="330">(CM22-CR22)/(CW22-CR22)*(CS22-CN22)+CN22</f>
        <v>1.8656127406557887</v>
      </c>
      <c r="CY22" s="47">
        <f t="shared" ref="CY22:CY23" si="331">(CM22-CR22)/(CW22-CR22)*(CT22-CO22)+CO22</f>
        <v>8.9328687822485986E-2</v>
      </c>
      <c r="CZ22" s="47">
        <f t="shared" ref="CZ22:CZ23" si="332">(CM22-CR22)/(CW22-CR22)*(CU22-CP22)+CP22</f>
        <v>1.2611317335807668</v>
      </c>
      <c r="DA22" s="48">
        <f t="shared" ref="DA22:DA23" si="333">(CM22-CR22)/(CW22-CR22)*(CV22-CQ22)+CQ22</f>
        <v>5.702531214219027</v>
      </c>
    </row>
    <row r="23" spans="1:105" x14ac:dyDescent="0.3">
      <c r="A23" s="158">
        <f t="shared" si="30"/>
        <v>18</v>
      </c>
      <c r="B23" s="158">
        <f t="shared" si="31"/>
        <v>18</v>
      </c>
      <c r="C23" s="74" t="s">
        <v>1336</v>
      </c>
      <c r="D23" s="72" t="s">
        <v>1337</v>
      </c>
      <c r="E23" s="196" t="s">
        <v>705</v>
      </c>
      <c r="F23" s="158" t="s">
        <v>423</v>
      </c>
      <c r="G23" s="159" t="s">
        <v>255</v>
      </c>
      <c r="H23" s="157">
        <f t="shared" si="4"/>
        <v>25</v>
      </c>
      <c r="I23" s="157">
        <f t="shared" si="4"/>
        <v>7</v>
      </c>
      <c r="J23" s="157">
        <f t="shared" si="4"/>
        <v>0.65449999999999997</v>
      </c>
      <c r="K23" s="157">
        <f t="shared" si="4"/>
        <v>0.62860000000000005</v>
      </c>
      <c r="L23" s="157" t="str">
        <f t="shared" si="4"/>
        <v>All Modes</v>
      </c>
      <c r="M23" s="157">
        <f t="shared" si="4"/>
        <v>96</v>
      </c>
      <c r="N23" s="240">
        <f t="shared" si="4"/>
        <v>5.9</v>
      </c>
      <c r="O23" s="240">
        <f t="shared" si="4"/>
        <v>139.21</v>
      </c>
      <c r="P23" s="240">
        <f t="shared" si="4"/>
        <v>418.52</v>
      </c>
      <c r="Q23" s="240">
        <f t="shared" si="4"/>
        <v>141.36000000000001</v>
      </c>
      <c r="R23" s="240">
        <f t="shared" si="4"/>
        <v>152.72999999999999</v>
      </c>
      <c r="S23" s="242">
        <f t="shared" si="5"/>
        <v>0.3</v>
      </c>
      <c r="T23" s="242">
        <f t="shared" si="6"/>
        <v>9.6999999999999993</v>
      </c>
      <c r="U23" s="242">
        <f t="shared" si="6"/>
        <v>36</v>
      </c>
      <c r="V23" s="163"/>
      <c r="W23" s="158" t="str">
        <f t="shared" si="7"/>
        <v>Gamma</v>
      </c>
      <c r="X23" s="160">
        <f t="shared" si="8"/>
        <v>3.3753173903859759</v>
      </c>
      <c r="Y23" s="160" t="e">
        <f t="shared" si="283"/>
        <v>#REF!</v>
      </c>
      <c r="Z23" s="160">
        <f t="shared" si="9"/>
        <v>2128.2123032820555</v>
      </c>
      <c r="AA23" s="160" t="e">
        <f t="shared" si="10"/>
        <v>#REF!</v>
      </c>
      <c r="AB23" s="160">
        <v>0</v>
      </c>
      <c r="AC23" s="160" t="e">
        <f t="shared" si="11"/>
        <v>#REF!</v>
      </c>
      <c r="AD23" s="160">
        <f t="shared" si="12"/>
        <v>2165.1323656631102</v>
      </c>
      <c r="AE23" s="160">
        <f t="shared" si="13"/>
        <v>6487.8786754728426</v>
      </c>
      <c r="AF23" s="160">
        <f t="shared" si="14"/>
        <v>14577.391062403802</v>
      </c>
      <c r="AG23" s="160">
        <f t="shared" si="15"/>
        <v>7183.3919977013138</v>
      </c>
      <c r="AH23" s="160">
        <f t="shared" si="16"/>
        <v>3909.9594919648207</v>
      </c>
      <c r="AI23" s="160">
        <f t="shared" si="17"/>
        <v>15287783.228805799</v>
      </c>
      <c r="AJ23" s="158" t="str">
        <f t="shared" si="18"/>
        <v>Gamma</v>
      </c>
      <c r="AK23" s="161">
        <f t="shared" si="19"/>
        <v>0.6704825553241357</v>
      </c>
      <c r="AL23" s="161" t="e">
        <f t="shared" si="20"/>
        <v>#REF!</v>
      </c>
      <c r="AM23" s="161">
        <f t="shared" si="21"/>
        <v>14.467192208021977</v>
      </c>
      <c r="AN23" s="161" t="e">
        <f t="shared" si="22"/>
        <v>#REF!</v>
      </c>
      <c r="AO23" s="162">
        <v>0</v>
      </c>
      <c r="AP23" s="162" t="e">
        <f t="shared" si="23"/>
        <v>#REF!</v>
      </c>
      <c r="AQ23" s="163">
        <f t="shared" si="24"/>
        <v>0.27176522951738619</v>
      </c>
      <c r="AR23" s="163">
        <f t="shared" si="25"/>
        <v>5.5879312308115399</v>
      </c>
      <c r="AS23" s="163">
        <f t="shared" si="26"/>
        <v>33.090345626755244</v>
      </c>
      <c r="AT23" s="163">
        <f t="shared" si="27"/>
        <v>9.6999999999999993</v>
      </c>
      <c r="AU23" s="163">
        <f t="shared" si="28"/>
        <v>11.846170875764589</v>
      </c>
      <c r="AV23" s="163">
        <f t="shared" si="29"/>
        <v>140.33176441781316</v>
      </c>
      <c r="AW23" s="252"/>
      <c r="BA23" s="67">
        <f t="shared" si="284"/>
        <v>2389.3720730192108</v>
      </c>
      <c r="BB23" s="68">
        <f t="shared" si="285"/>
        <v>7183.3919977013138</v>
      </c>
      <c r="BC23" s="68">
        <f t="shared" si="286"/>
        <v>169491.5254237288</v>
      </c>
      <c r="BD23" s="42">
        <f t="shared" si="287"/>
        <v>3.3753173903859759</v>
      </c>
      <c r="BE23" s="42">
        <f t="shared" si="288"/>
        <v>4.6987793391563173E-4</v>
      </c>
      <c r="BF23" s="42">
        <f t="shared" si="289"/>
        <v>2128.2123032820555</v>
      </c>
      <c r="BG23" s="69">
        <f t="shared" si="290"/>
        <v>2165.1323656631102</v>
      </c>
      <c r="BH23" s="69">
        <f t="shared" si="291"/>
        <v>7183.3919977013138</v>
      </c>
      <c r="BI23" s="69">
        <f t="shared" si="292"/>
        <v>6487.8786754728426</v>
      </c>
      <c r="BJ23" s="69">
        <f t="shared" si="293"/>
        <v>14577.391062403802</v>
      </c>
      <c r="BK23" s="70">
        <f t="shared" si="294"/>
        <v>3909.9594919648207</v>
      </c>
      <c r="BL23" s="71">
        <f t="shared" si="295"/>
        <v>0.33262448628500435</v>
      </c>
      <c r="BM23" s="46">
        <f t="shared" si="296"/>
        <v>6</v>
      </c>
      <c r="BN23" s="47">
        <f t="shared" si="297"/>
        <v>1.6353828954369192</v>
      </c>
      <c r="BO23" s="47">
        <f t="shared" si="298"/>
        <v>5.3481208434097312</v>
      </c>
      <c r="BP23" s="47">
        <f t="shared" si="299"/>
        <v>12.591587244072656</v>
      </c>
      <c r="BQ23" s="47">
        <f t="shared" si="300"/>
        <v>0.30578645160049706</v>
      </c>
      <c r="BR23" s="46">
        <f t="shared" si="301"/>
        <v>7</v>
      </c>
      <c r="BS23" s="47">
        <f t="shared" si="302"/>
        <v>2.1673499186219098</v>
      </c>
      <c r="BT23" s="47">
        <f t="shared" si="303"/>
        <v>6.3458113725816272</v>
      </c>
      <c r="BU23" s="47">
        <f t="shared" si="304"/>
        <v>14.067140433005996</v>
      </c>
      <c r="BV23" s="47">
        <f t="shared" si="305"/>
        <v>0.34154023675938233</v>
      </c>
      <c r="BW23" s="47">
        <f t="shared" si="306"/>
        <v>6.7506347807719518</v>
      </c>
      <c r="BX23" s="47">
        <f t="shared" si="307"/>
        <v>2.0346958452632924</v>
      </c>
      <c r="BY23" s="47">
        <f t="shared" si="308"/>
        <v>6.0970220550529293</v>
      </c>
      <c r="BZ23" s="48">
        <f t="shared" si="309"/>
        <v>13.699188788564987</v>
      </c>
      <c r="CB23" s="39">
        <f t="shared" si="310"/>
        <v>0.3</v>
      </c>
      <c r="CC23" s="40">
        <f t="shared" si="310"/>
        <v>9.6999999999999993</v>
      </c>
      <c r="CD23" s="40">
        <f t="shared" si="310"/>
        <v>36</v>
      </c>
      <c r="CE23" s="120">
        <f t="shared" si="311"/>
        <v>0.6704825553241357</v>
      </c>
      <c r="CF23" s="42">
        <f t="shared" si="312"/>
        <v>6.9121912920013989E-2</v>
      </c>
      <c r="CG23" s="41">
        <f t="shared" si="313"/>
        <v>14.467192208021977</v>
      </c>
      <c r="CH23" s="43">
        <f t="shared" si="314"/>
        <v>0.27176522951738619</v>
      </c>
      <c r="CI23" s="43">
        <f t="shared" si="315"/>
        <v>9.6999999999999993</v>
      </c>
      <c r="CJ23" s="43">
        <f t="shared" si="316"/>
        <v>5.5879312308115399</v>
      </c>
      <c r="CK23" s="43">
        <f t="shared" si="317"/>
        <v>33.090345626755244</v>
      </c>
      <c r="CL23" s="44">
        <f t="shared" si="318"/>
        <v>11.846170875764589</v>
      </c>
      <c r="CM23" s="45">
        <f t="shared" si="319"/>
        <v>3.0927835051546393E-2</v>
      </c>
      <c r="CN23" s="46">
        <f t="shared" si="320"/>
        <v>1</v>
      </c>
      <c r="CO23" s="47">
        <f t="shared" si="321"/>
        <v>3.9321400005324098E-3</v>
      </c>
      <c r="CP23" s="47">
        <f t="shared" si="322"/>
        <v>0.4549364250484666</v>
      </c>
      <c r="CQ23" s="47">
        <f t="shared" si="323"/>
        <v>3.841459149489757</v>
      </c>
      <c r="CR23" s="47">
        <f t="shared" si="324"/>
        <v>8.6432736180961992E-3</v>
      </c>
      <c r="CS23" s="46">
        <f t="shared" si="325"/>
        <v>2</v>
      </c>
      <c r="CT23" s="47">
        <f t="shared" si="326"/>
        <v>0.10258658882167279</v>
      </c>
      <c r="CU23" s="47">
        <f t="shared" si="327"/>
        <v>1.3862943760896287</v>
      </c>
      <c r="CV23" s="47">
        <f t="shared" si="328"/>
        <v>5.9914645471914136</v>
      </c>
      <c r="CW23" s="47">
        <f t="shared" si="329"/>
        <v>7.4000580678284605E-2</v>
      </c>
      <c r="CX23" s="47">
        <f t="shared" si="330"/>
        <v>1.3409651106482714</v>
      </c>
      <c r="CY23" s="47">
        <f t="shared" si="331"/>
        <v>3.7569865058776769E-2</v>
      </c>
      <c r="CZ23" s="47">
        <f t="shared" si="332"/>
        <v>0.77249699187836374</v>
      </c>
      <c r="DA23" s="48">
        <f t="shared" si="333"/>
        <v>4.5745359778114834</v>
      </c>
    </row>
    <row r="24" spans="1:105" s="143" customFormat="1" x14ac:dyDescent="0.3">
      <c r="A24" s="158">
        <f t="shared" si="30"/>
        <v>19</v>
      </c>
      <c r="B24" s="158">
        <f t="shared" si="31"/>
        <v>19</v>
      </c>
      <c r="C24" s="74" t="s">
        <v>1338</v>
      </c>
      <c r="D24" s="72" t="s">
        <v>1339</v>
      </c>
      <c r="E24" s="250" t="s">
        <v>941</v>
      </c>
      <c r="F24" s="158" t="s">
        <v>423</v>
      </c>
      <c r="G24" s="159" t="s">
        <v>940</v>
      </c>
      <c r="H24" s="157">
        <f t="shared" si="4"/>
        <v>60</v>
      </c>
      <c r="I24" s="157">
        <f t="shared" si="4"/>
        <v>7</v>
      </c>
      <c r="J24" s="157">
        <f t="shared" si="4"/>
        <v>2.4954000000000001</v>
      </c>
      <c r="K24" s="157">
        <f t="shared" si="4"/>
        <v>1.849</v>
      </c>
      <c r="L24" s="157" t="str">
        <f t="shared" si="4"/>
        <v>All Modes</v>
      </c>
      <c r="M24" s="157">
        <f t="shared" si="4"/>
        <v>37</v>
      </c>
      <c r="N24" s="240">
        <f t="shared" si="4"/>
        <v>3.81</v>
      </c>
      <c r="O24" s="240">
        <f t="shared" si="4"/>
        <v>14.18</v>
      </c>
      <c r="P24" s="240">
        <f t="shared" si="4"/>
        <v>29.92</v>
      </c>
      <c r="Q24" s="240">
        <f t="shared" si="4"/>
        <v>8.27</v>
      </c>
      <c r="R24" s="240">
        <f t="shared" si="4"/>
        <v>20.010000000000002</v>
      </c>
      <c r="S24" s="242">
        <f t="shared" si="5"/>
        <v>0.3</v>
      </c>
      <c r="T24" s="242">
        <f t="shared" si="6"/>
        <v>4.2</v>
      </c>
      <c r="U24" s="242">
        <f t="shared" si="6"/>
        <v>13</v>
      </c>
      <c r="V24" s="163"/>
      <c r="W24" s="158" t="str">
        <f t="shared" ref="W24:W27" si="334">IF(F24="OREDA","Gamma","Exponential")</f>
        <v>Gamma</v>
      </c>
      <c r="X24" s="160">
        <f t="shared" ref="X24:X25" si="335">IF(W24="Gamma",BD24,1/R24*1000000)</f>
        <v>6.3936036989270661</v>
      </c>
      <c r="Y24" s="160" t="e">
        <f t="shared" ref="Y24:Y25" si="336">VLOOKUP(C24,Export_Library,3,0)</f>
        <v>#REF!</v>
      </c>
      <c r="Z24" s="160">
        <f t="shared" ref="Z24:Z25" si="337">IF(W24="Gamma",BF24,0)</f>
        <v>11030.064592365248</v>
      </c>
      <c r="AA24" s="160" t="e">
        <f t="shared" ref="AA24:AA25" si="338">VLOOKUP(C24,Export_Library,4,0)</f>
        <v>#REF!</v>
      </c>
      <c r="AB24" s="160">
        <v>0</v>
      </c>
      <c r="AC24" s="160" t="e">
        <f t="shared" ref="AC24:AC25" si="339">VLOOKUP(C24,Export_Library,5,0)</f>
        <v>#REF!</v>
      </c>
      <c r="AD24" s="160">
        <f t="shared" ref="AD24:AD25" si="340">IF(W24="Gamma",BG24,-X24*LN(1-0.05))</f>
        <v>31712.426389870063</v>
      </c>
      <c r="AE24" s="160">
        <f t="shared" ref="AE24:AE25" si="341">IF(W24="Gamma",BI24,-X24*LN(1-0.5))</f>
        <v>66881.260578646514</v>
      </c>
      <c r="AF24" s="160">
        <f t="shared" ref="AF24:AF25" si="342">IF(W24="Gamma",BJ24,-X24*LN(1-0.95))</f>
        <v>121759.50164009428</v>
      </c>
      <c r="AG24" s="160">
        <f t="shared" ref="AG24:AG25" si="343">IF(W24="Gamma",BH24,X24)</f>
        <v>70521.861777150916</v>
      </c>
      <c r="AH24" s="160">
        <f t="shared" ref="AH24:AH25" si="344">IF(W24="Gamma",BK24,X24)</f>
        <v>27890.154007746685</v>
      </c>
      <c r="AI24" s="160">
        <f t="shared" ref="AI24:AI25" si="345">AH24^2</f>
        <v>777860690.57582843</v>
      </c>
      <c r="AJ24" s="158" t="str">
        <f t="shared" ref="AJ24:AJ25" si="346">IF(ISNUMBER(V24),"Exponential","Gamma")</f>
        <v>Gamma</v>
      </c>
      <c r="AK24" s="161">
        <f t="shared" ref="AK24:AK25" si="347">IF(AJ24="Gamma",CE24,V24)</f>
        <v>0.98032347594015323</v>
      </c>
      <c r="AL24" s="161" t="e">
        <f t="shared" ref="AL24:AL25" si="348">VLOOKUP(C24,Export_Library,7,0)</f>
        <v>#REF!</v>
      </c>
      <c r="AM24" s="161">
        <f t="shared" ref="AM24:AM25" si="349">IF(AJ24="Gamma",CG24,0)</f>
        <v>4.2843001346796292</v>
      </c>
      <c r="AN24" s="161" t="e">
        <f t="shared" ref="AN24:AN25" si="350">VLOOKUP(C24,Export_Library,8,0)</f>
        <v>#REF!</v>
      </c>
      <c r="AO24" s="162">
        <v>0</v>
      </c>
      <c r="AP24" s="162" t="e">
        <f t="shared" ref="AP24:AP25" si="351">VLOOKUP(C24,Export_Library,9,0)</f>
        <v>#REF!</v>
      </c>
      <c r="AQ24" s="163">
        <f t="shared" ref="AQ24:AQ25" si="352">IF(AJ24="Gamma",CH24,-AK24*LN(1-0.05))</f>
        <v>0.2114392848301416</v>
      </c>
      <c r="AR24" s="163">
        <f t="shared" ref="AR24:AR25" si="353">IF(AJ24="Gamma",CJ24,-AK24*LN(1-0.5))</f>
        <v>2.8911369903854918</v>
      </c>
      <c r="AS24" s="163">
        <f t="shared" ref="AS24:AS25" si="354">IF(AJ24="Gamma",CK24,-AK24*LN(1-0.95))</f>
        <v>12.653370438642021</v>
      </c>
      <c r="AT24" s="163">
        <f t="shared" ref="AT24:AT25" si="355">IF(AJ24="Gamma",CI24,AK24)</f>
        <v>4.2</v>
      </c>
      <c r="AU24" s="163">
        <f t="shared" ref="AU24:AU25" si="356">IF(AJ24="Gamma",CL24,AK24)</f>
        <v>4.2419406603174501</v>
      </c>
      <c r="AV24" s="163">
        <f t="shared" ref="AV24:AV25" si="357">AU24^2</f>
        <v>17.994060565654443</v>
      </c>
      <c r="AW24" s="252"/>
      <c r="BA24" s="67">
        <f t="shared" ref="BA24:BA25" si="358">1000000/P24</f>
        <v>33422.45989304813</v>
      </c>
      <c r="BB24" s="68">
        <f t="shared" ref="BB24:BB25" si="359">1000000/O24</f>
        <v>70521.861777150916</v>
      </c>
      <c r="BC24" s="68">
        <f t="shared" ref="BC24:BC25" si="360">1000000/N24</f>
        <v>262467.19160104985</v>
      </c>
      <c r="BD24" s="42">
        <f t="shared" ref="BD24:BD25" si="361">BW24/2</f>
        <v>6.3936036989270661</v>
      </c>
      <c r="BE24" s="42">
        <f t="shared" ref="BE24:BE25" si="362">BD24/BB24</f>
        <v>9.0661300450785797E-5</v>
      </c>
      <c r="BF24" s="42">
        <f t="shared" ref="BF24:BF25" si="363">1/BE24</f>
        <v>11030.064592365248</v>
      </c>
      <c r="BG24" s="69">
        <f t="shared" ref="BG24:BG25" si="364">1/2/BE24*BX24</f>
        <v>31712.426389870063</v>
      </c>
      <c r="BH24" s="69">
        <f t="shared" ref="BH24:BH25" si="365">BD24/BE24</f>
        <v>70521.861777150916</v>
      </c>
      <c r="BI24" s="69">
        <f t="shared" ref="BI24:BI25" si="366">1/2/BE24*BY24</f>
        <v>66881.260578646514</v>
      </c>
      <c r="BJ24" s="69">
        <f t="shared" ref="BJ24:BJ25" si="367">1/2/BE24*BZ24</f>
        <v>121759.50164009428</v>
      </c>
      <c r="BK24" s="70">
        <f t="shared" ref="BK24:BK25" si="368">SQRT(BH24/BE24)</f>
        <v>27890.154007746685</v>
      </c>
      <c r="BL24" s="71">
        <f t="shared" ref="BL24:BL25" si="369">BA24/BB24</f>
        <v>0.47393048128342247</v>
      </c>
      <c r="BM24" s="46">
        <v>12</v>
      </c>
      <c r="BN24" s="47">
        <v>5.2260294996443619</v>
      </c>
      <c r="BO24" s="47">
        <v>11.340322820897764</v>
      </c>
      <c r="BP24" s="47">
        <v>21.026069818100467</v>
      </c>
      <c r="BQ24" s="47">
        <f t="shared" ref="BQ24:BQ25" si="370">BN24/BO24</f>
        <v>0.46083604339851059</v>
      </c>
      <c r="BR24" s="46">
        <f t="shared" ref="BR24:BR25" si="371">BM24+1</f>
        <v>13</v>
      </c>
      <c r="BS24" s="47">
        <v>5.8918643681876564</v>
      </c>
      <c r="BT24" s="47">
        <v>12.33975613534936</v>
      </c>
      <c r="BU24" s="47">
        <v>22.362032496585705</v>
      </c>
      <c r="BV24" s="47">
        <f t="shared" ref="BV24:BV25" si="372">BS24/BT24</f>
        <v>0.47747008154475556</v>
      </c>
      <c r="BW24" s="47">
        <f t="shared" ref="BW24:BW25" si="373">(BL24-BQ24)/(BV24-BQ24)*(BR24-BM24)+BM24</f>
        <v>12.787207397854132</v>
      </c>
      <c r="BX24" s="47">
        <f t="shared" ref="BX24:BX25" si="374">(BL24-BQ24)/(BV24-BQ24)*(BS24-BN24)+BN24</f>
        <v>5.7501796339108768</v>
      </c>
      <c r="BY24" s="47">
        <f t="shared" ref="BY24:BY25" si="375">(BL24-BQ24)/(BV24-BQ24)*(BT24-BO24)+BO24</f>
        <v>12.127084119695935</v>
      </c>
      <c r="BZ24" s="48">
        <f t="shared" ref="BZ24:BZ25" si="376">(BL24-BQ24)/(BV24-BQ24)*(BU24-BP24)+BP24</f>
        <v>22.077749521861069</v>
      </c>
      <c r="CB24" s="39">
        <f t="shared" ref="CB24:CB25" si="377">S24</f>
        <v>0.3</v>
      </c>
      <c r="CC24" s="40">
        <f t="shared" ref="CC24:CC25" si="378">T24</f>
        <v>4.2</v>
      </c>
      <c r="CD24" s="40">
        <f t="shared" ref="CD24:CD25" si="379">U24</f>
        <v>13</v>
      </c>
      <c r="CE24" s="120">
        <f t="shared" ref="CE24:CE25" si="380">CX24/2</f>
        <v>0.98032347594015323</v>
      </c>
      <c r="CF24" s="42">
        <f t="shared" ref="CF24:CF25" si="381">CE24/CC24</f>
        <v>0.23341035141432218</v>
      </c>
      <c r="CG24" s="41">
        <f t="shared" ref="CG24:CG25" si="382">1/CF24</f>
        <v>4.2843001346796292</v>
      </c>
      <c r="CH24" s="43">
        <f t="shared" ref="CH24:CH25" si="383">1/2/CF24*CY24</f>
        <v>0.2114392848301416</v>
      </c>
      <c r="CI24" s="43">
        <f t="shared" ref="CI24:CI25" si="384">CE24/CF24</f>
        <v>4.2</v>
      </c>
      <c r="CJ24" s="43">
        <f t="shared" ref="CJ24:CJ25" si="385">1/2/CF24*CZ24</f>
        <v>2.8911369903854918</v>
      </c>
      <c r="CK24" s="43">
        <f t="shared" ref="CK24:CK25" si="386">1/2/CF24*DA24</f>
        <v>12.653370438642021</v>
      </c>
      <c r="CL24" s="44">
        <f t="shared" ref="CL24:CL25" si="387">SQRT(CI24/CF24)</f>
        <v>4.2419406603174501</v>
      </c>
      <c r="CM24" s="45">
        <f t="shared" ref="CM24:CM25" si="388">CB24/CC24</f>
        <v>7.1428571428571425E-2</v>
      </c>
      <c r="CN24" s="46">
        <v>1</v>
      </c>
      <c r="CO24" s="47">
        <v>3.9321400005324098E-3</v>
      </c>
      <c r="CP24" s="47">
        <v>0.4549364250484666</v>
      </c>
      <c r="CQ24" s="47">
        <v>3.841459149489757</v>
      </c>
      <c r="CR24" s="47">
        <f t="shared" ref="CR24:CR25" si="389">CO24/CP24</f>
        <v>8.6432736180961992E-3</v>
      </c>
      <c r="CS24" s="46">
        <f t="shared" ref="CS24:CS25" si="390">CN24+1</f>
        <v>2</v>
      </c>
      <c r="CT24" s="47">
        <v>0.10258658882167279</v>
      </c>
      <c r="CU24" s="47">
        <v>1.3862943760896287</v>
      </c>
      <c r="CV24" s="47">
        <v>5.9914645471914136</v>
      </c>
      <c r="CW24" s="47">
        <f t="shared" ref="CW24:CW25" si="391">CT24/CU24</f>
        <v>7.4000580678284605E-2</v>
      </c>
      <c r="CX24" s="47">
        <f t="shared" ref="CX24:CX25" si="392">(CM24-CR24)/(CW24-CR24)*(CS24-CN24)+CN24</f>
        <v>1.9606469518803065</v>
      </c>
      <c r="CY24" s="47">
        <f t="shared" ref="CY24:CY25" si="393">(CM24-CR24)/(CW24-CR24)*(CT24-CO24)+CO24</f>
        <v>9.8704235549992608E-2</v>
      </c>
      <c r="CZ24" s="47">
        <f t="shared" ref="CZ24:CZ25" si="394">(CM24-CR24)/(CW24-CR24)*(CU24-CP24)+CP24</f>
        <v>1.3496426018256467</v>
      </c>
      <c r="DA24" s="48">
        <f t="shared" ref="DA24:DA25" si="395">(CM24-CR24)/(CW24-CR24)*(CV24-CQ24)+CQ24</f>
        <v>5.9068552813180597</v>
      </c>
    </row>
    <row r="25" spans="1:105" x14ac:dyDescent="0.3">
      <c r="A25" s="158">
        <f t="shared" si="30"/>
        <v>20</v>
      </c>
      <c r="B25" s="158">
        <f t="shared" si="31"/>
        <v>20</v>
      </c>
      <c r="C25" s="74" t="s">
        <v>1343</v>
      </c>
      <c r="D25" s="72" t="s">
        <v>1341</v>
      </c>
      <c r="E25" s="250" t="s">
        <v>1374</v>
      </c>
      <c r="F25" s="158" t="s">
        <v>1365</v>
      </c>
      <c r="G25" s="159" t="s">
        <v>1377</v>
      </c>
      <c r="H25" s="157" t="e">
        <f t="shared" ref="H25:R35" si="396">VLOOKUP($G25,OREDA2009,H$3,0)</f>
        <v>#N/A</v>
      </c>
      <c r="I25" s="157" t="e">
        <f t="shared" si="396"/>
        <v>#N/A</v>
      </c>
      <c r="J25" s="223">
        <v>1</v>
      </c>
      <c r="K25" s="157" t="e">
        <f t="shared" si="396"/>
        <v>#N/A</v>
      </c>
      <c r="L25" s="157" t="e">
        <f t="shared" si="396"/>
        <v>#N/A</v>
      </c>
      <c r="M25" s="222">
        <f>0.00349315068493151</f>
        <v>3.4931506849315099E-3</v>
      </c>
      <c r="N25" s="240" t="e">
        <f t="shared" ref="N25:Q25" si="397">VLOOKUP($G25,OREDA2009,N$3,0)</f>
        <v>#N/A</v>
      </c>
      <c r="O25" s="240" t="e">
        <f t="shared" si="397"/>
        <v>#N/A</v>
      </c>
      <c r="P25" s="240" t="e">
        <f t="shared" si="397"/>
        <v>#N/A</v>
      </c>
      <c r="Q25" s="240" t="e">
        <f t="shared" si="397"/>
        <v>#N/A</v>
      </c>
      <c r="R25" s="285">
        <f>M25/J25</f>
        <v>3.4931506849315099E-3</v>
      </c>
      <c r="S25" s="242" t="e">
        <f t="shared" si="5"/>
        <v>#N/A</v>
      </c>
      <c r="T25" s="242" t="e">
        <f t="shared" ref="T25:U35" si="398">VLOOKUP($G25,OREDA2009,T$3,0)</f>
        <v>#N/A</v>
      </c>
      <c r="U25" s="242" t="e">
        <f t="shared" si="398"/>
        <v>#N/A</v>
      </c>
      <c r="V25" s="226">
        <v>36</v>
      </c>
      <c r="W25" s="286" t="str">
        <f t="shared" si="334"/>
        <v>Exponential</v>
      </c>
      <c r="X25" s="160">
        <f t="shared" si="335"/>
        <v>286274509.80392134</v>
      </c>
      <c r="Y25" s="160" t="e">
        <f t="shared" si="336"/>
        <v>#REF!</v>
      </c>
      <c r="Z25" s="160">
        <f t="shared" si="337"/>
        <v>0</v>
      </c>
      <c r="AA25" s="160" t="e">
        <f t="shared" si="338"/>
        <v>#REF!</v>
      </c>
      <c r="AB25" s="160">
        <v>0</v>
      </c>
      <c r="AC25" s="160" t="e">
        <f t="shared" si="339"/>
        <v>#REF!</v>
      </c>
      <c r="AD25" s="160">
        <f t="shared" si="340"/>
        <v>14683962.707024271</v>
      </c>
      <c r="AE25" s="160">
        <f t="shared" si="341"/>
        <v>198430369.33676851</v>
      </c>
      <c r="AF25" s="160">
        <f t="shared" si="342"/>
        <v>857601788.11545527</v>
      </c>
      <c r="AG25" s="160">
        <f t="shared" si="343"/>
        <v>286274509.80392134</v>
      </c>
      <c r="AH25" s="160">
        <f t="shared" si="344"/>
        <v>286274509.80392134</v>
      </c>
      <c r="AI25" s="160">
        <f t="shared" si="345"/>
        <v>8.1953094963475456E+16</v>
      </c>
      <c r="AJ25" s="158" t="str">
        <f t="shared" si="346"/>
        <v>Exponential</v>
      </c>
      <c r="AK25" s="161">
        <f t="shared" si="347"/>
        <v>36</v>
      </c>
      <c r="AL25" s="161" t="e">
        <f t="shared" si="348"/>
        <v>#REF!</v>
      </c>
      <c r="AM25" s="161">
        <f t="shared" si="349"/>
        <v>0</v>
      </c>
      <c r="AN25" s="161" t="e">
        <f t="shared" si="350"/>
        <v>#REF!</v>
      </c>
      <c r="AO25" s="162">
        <v>0</v>
      </c>
      <c r="AP25" s="162" t="e">
        <f t="shared" si="351"/>
        <v>#REF!</v>
      </c>
      <c r="AQ25" s="163">
        <f t="shared" si="352"/>
        <v>1.8465585979518209</v>
      </c>
      <c r="AR25" s="163">
        <f t="shared" si="353"/>
        <v>24.953298500158031</v>
      </c>
      <c r="AS25" s="163">
        <f t="shared" si="354"/>
        <v>107.84636184794364</v>
      </c>
      <c r="AT25" s="163">
        <f t="shared" si="355"/>
        <v>36</v>
      </c>
      <c r="AU25" s="163">
        <f t="shared" si="356"/>
        <v>36</v>
      </c>
      <c r="AV25" s="163">
        <f t="shared" si="357"/>
        <v>1296</v>
      </c>
      <c r="AW25" s="252"/>
      <c r="BA25" s="67" t="e">
        <f t="shared" si="358"/>
        <v>#N/A</v>
      </c>
      <c r="BB25" s="68" t="e">
        <f t="shared" si="359"/>
        <v>#N/A</v>
      </c>
      <c r="BC25" s="68" t="e">
        <f t="shared" si="360"/>
        <v>#N/A</v>
      </c>
      <c r="BD25" s="42" t="e">
        <f t="shared" si="361"/>
        <v>#N/A</v>
      </c>
      <c r="BE25" s="42" t="e">
        <f t="shared" si="362"/>
        <v>#N/A</v>
      </c>
      <c r="BF25" s="42" t="e">
        <f t="shared" si="363"/>
        <v>#N/A</v>
      </c>
      <c r="BG25" s="69" t="e">
        <f t="shared" si="364"/>
        <v>#N/A</v>
      </c>
      <c r="BH25" s="69" t="e">
        <f t="shared" si="365"/>
        <v>#N/A</v>
      </c>
      <c r="BI25" s="69" t="e">
        <f t="shared" si="366"/>
        <v>#N/A</v>
      </c>
      <c r="BJ25" s="69" t="e">
        <f t="shared" si="367"/>
        <v>#N/A</v>
      </c>
      <c r="BK25" s="70" t="e">
        <f t="shared" si="368"/>
        <v>#N/A</v>
      </c>
      <c r="BL25" s="71" t="e">
        <f t="shared" si="369"/>
        <v>#N/A</v>
      </c>
      <c r="BM25" s="46" t="e">
        <v>#N/A</v>
      </c>
      <c r="BN25" s="47" t="e">
        <v>#N/A</v>
      </c>
      <c r="BO25" s="47" t="e">
        <v>#N/A</v>
      </c>
      <c r="BP25" s="47" t="e">
        <v>#N/A</v>
      </c>
      <c r="BQ25" s="47" t="e">
        <f t="shared" si="370"/>
        <v>#N/A</v>
      </c>
      <c r="BR25" s="46" t="e">
        <f t="shared" si="371"/>
        <v>#N/A</v>
      </c>
      <c r="BS25" s="47" t="e">
        <v>#N/A</v>
      </c>
      <c r="BT25" s="47" t="e">
        <v>#N/A</v>
      </c>
      <c r="BU25" s="47" t="e">
        <v>#N/A</v>
      </c>
      <c r="BV25" s="47" t="e">
        <f t="shared" si="372"/>
        <v>#N/A</v>
      </c>
      <c r="BW25" s="47" t="e">
        <f t="shared" si="373"/>
        <v>#N/A</v>
      </c>
      <c r="BX25" s="47" t="e">
        <f t="shared" si="374"/>
        <v>#N/A</v>
      </c>
      <c r="BY25" s="47" t="e">
        <f t="shared" si="375"/>
        <v>#N/A</v>
      </c>
      <c r="BZ25" s="48" t="e">
        <f t="shared" si="376"/>
        <v>#N/A</v>
      </c>
      <c r="CB25" s="39" t="e">
        <f t="shared" si="377"/>
        <v>#N/A</v>
      </c>
      <c r="CC25" s="40" t="e">
        <f t="shared" si="378"/>
        <v>#N/A</v>
      </c>
      <c r="CD25" s="40" t="e">
        <f t="shared" si="379"/>
        <v>#N/A</v>
      </c>
      <c r="CE25" s="120" t="e">
        <f t="shared" si="380"/>
        <v>#N/A</v>
      </c>
      <c r="CF25" s="42" t="e">
        <f t="shared" si="381"/>
        <v>#N/A</v>
      </c>
      <c r="CG25" s="41" t="e">
        <f t="shared" si="382"/>
        <v>#N/A</v>
      </c>
      <c r="CH25" s="43" t="e">
        <f t="shared" si="383"/>
        <v>#N/A</v>
      </c>
      <c r="CI25" s="43" t="e">
        <f t="shared" si="384"/>
        <v>#N/A</v>
      </c>
      <c r="CJ25" s="43" t="e">
        <f t="shared" si="385"/>
        <v>#N/A</v>
      </c>
      <c r="CK25" s="43" t="e">
        <f t="shared" si="386"/>
        <v>#N/A</v>
      </c>
      <c r="CL25" s="44" t="e">
        <f t="shared" si="387"/>
        <v>#N/A</v>
      </c>
      <c r="CM25" s="45" t="e">
        <f t="shared" si="388"/>
        <v>#N/A</v>
      </c>
      <c r="CN25" s="46" t="e">
        <v>#N/A</v>
      </c>
      <c r="CO25" s="47" t="e">
        <v>#N/A</v>
      </c>
      <c r="CP25" s="47" t="e">
        <v>#N/A</v>
      </c>
      <c r="CQ25" s="47" t="e">
        <v>#N/A</v>
      </c>
      <c r="CR25" s="47" t="e">
        <f t="shared" si="389"/>
        <v>#N/A</v>
      </c>
      <c r="CS25" s="46" t="e">
        <f t="shared" si="390"/>
        <v>#N/A</v>
      </c>
      <c r="CT25" s="47" t="e">
        <v>#N/A</v>
      </c>
      <c r="CU25" s="47" t="e">
        <v>#N/A</v>
      </c>
      <c r="CV25" s="47" t="e">
        <v>#N/A</v>
      </c>
      <c r="CW25" s="47" t="e">
        <f t="shared" si="391"/>
        <v>#N/A</v>
      </c>
      <c r="CX25" s="47" t="e">
        <f t="shared" si="392"/>
        <v>#N/A</v>
      </c>
      <c r="CY25" s="47" t="e">
        <f t="shared" si="393"/>
        <v>#N/A</v>
      </c>
      <c r="CZ25" s="47" t="e">
        <f t="shared" si="394"/>
        <v>#N/A</v>
      </c>
      <c r="DA25" s="48" t="e">
        <f t="shared" si="395"/>
        <v>#N/A</v>
      </c>
    </row>
    <row r="26" spans="1:105" s="143" customFormat="1" x14ac:dyDescent="0.3">
      <c r="A26" s="158">
        <f t="shared" si="30"/>
        <v>21</v>
      </c>
      <c r="B26" s="158">
        <f t="shared" si="31"/>
        <v>21</v>
      </c>
      <c r="C26" s="74" t="s">
        <v>1345</v>
      </c>
      <c r="D26" s="72" t="s">
        <v>1344</v>
      </c>
      <c r="E26" s="250" t="s">
        <v>1375</v>
      </c>
      <c r="F26" s="158" t="s">
        <v>1365</v>
      </c>
      <c r="G26" s="159" t="s">
        <v>1376</v>
      </c>
      <c r="H26" s="157" t="e">
        <f t="shared" si="396"/>
        <v>#N/A</v>
      </c>
      <c r="I26" s="157" t="e">
        <f t="shared" si="396"/>
        <v>#N/A</v>
      </c>
      <c r="J26" s="223">
        <v>1</v>
      </c>
      <c r="K26" s="157" t="e">
        <f t="shared" si="396"/>
        <v>#N/A</v>
      </c>
      <c r="L26" s="157" t="e">
        <f t="shared" si="396"/>
        <v>#N/A</v>
      </c>
      <c r="M26" s="222">
        <v>3.4931506849315099E-3</v>
      </c>
      <c r="N26" s="240" t="e">
        <f t="shared" si="396"/>
        <v>#N/A</v>
      </c>
      <c r="O26" s="240" t="e">
        <f t="shared" si="396"/>
        <v>#N/A</v>
      </c>
      <c r="P26" s="240" t="e">
        <f t="shared" si="396"/>
        <v>#N/A</v>
      </c>
      <c r="Q26" s="240" t="e">
        <f t="shared" si="396"/>
        <v>#N/A</v>
      </c>
      <c r="R26" s="243" t="e">
        <f t="shared" si="396"/>
        <v>#N/A</v>
      </c>
      <c r="S26" s="242" t="e">
        <f t="shared" si="5"/>
        <v>#N/A</v>
      </c>
      <c r="T26" s="242" t="e">
        <f t="shared" si="398"/>
        <v>#N/A</v>
      </c>
      <c r="U26" s="242" t="e">
        <f t="shared" si="398"/>
        <v>#N/A</v>
      </c>
      <c r="V26" s="226">
        <v>8</v>
      </c>
      <c r="W26" s="286" t="str">
        <f t="shared" si="334"/>
        <v>Exponential</v>
      </c>
      <c r="X26" s="160" t="e">
        <f t="shared" ref="X26:X30" si="399">IF(W26="Gamma",BD26,1/R26*1000000)</f>
        <v>#N/A</v>
      </c>
      <c r="Y26" s="160" t="e">
        <f t="shared" ref="Y26:Y30" si="400">VLOOKUP(C26,Export_Library,3,0)</f>
        <v>#REF!</v>
      </c>
      <c r="Z26" s="160">
        <f t="shared" ref="Z26:Z30" si="401">IF(W26="Gamma",BF26,0)</f>
        <v>0</v>
      </c>
      <c r="AA26" s="160" t="e">
        <f t="shared" ref="AA26:AA30" si="402">VLOOKUP(C26,Export_Library,4,0)</f>
        <v>#REF!</v>
      </c>
      <c r="AB26" s="160">
        <v>0</v>
      </c>
      <c r="AC26" s="160" t="e">
        <f t="shared" ref="AC26:AC30" si="403">VLOOKUP(C26,Export_Library,5,0)</f>
        <v>#REF!</v>
      </c>
      <c r="AD26" s="160" t="e">
        <f t="shared" ref="AD26:AD30" si="404">IF(W26="Gamma",BG26,-X26*LN(1-0.05))</f>
        <v>#N/A</v>
      </c>
      <c r="AE26" s="160" t="e">
        <f t="shared" ref="AE26:AE30" si="405">IF(W26="Gamma",BI26,-X26*LN(1-0.5))</f>
        <v>#N/A</v>
      </c>
      <c r="AF26" s="160" t="e">
        <f t="shared" ref="AF26:AF30" si="406">IF(W26="Gamma",BJ26,-X26*LN(1-0.95))</f>
        <v>#N/A</v>
      </c>
      <c r="AG26" s="160" t="e">
        <f t="shared" ref="AG26:AG30" si="407">IF(W26="Gamma",BH26,X26)</f>
        <v>#N/A</v>
      </c>
      <c r="AH26" s="160" t="e">
        <f t="shared" ref="AH26:AH30" si="408">IF(W26="Gamma",BK26,X26)</f>
        <v>#N/A</v>
      </c>
      <c r="AI26" s="160" t="e">
        <f t="shared" ref="AI26:AI30" si="409">AH26^2</f>
        <v>#N/A</v>
      </c>
      <c r="AJ26" s="158" t="str">
        <f t="shared" ref="AJ26:AJ30" si="410">IF(ISNUMBER(V26),"Exponential","Gamma")</f>
        <v>Exponential</v>
      </c>
      <c r="AK26" s="161">
        <f t="shared" ref="AK26:AK30" si="411">IF(AJ26="Gamma",CE26,V26)</f>
        <v>8</v>
      </c>
      <c r="AL26" s="161" t="e">
        <f t="shared" ref="AL26:AL30" si="412">VLOOKUP(C26,Export_Library,7,0)</f>
        <v>#REF!</v>
      </c>
      <c r="AM26" s="161">
        <f t="shared" ref="AM26:AM30" si="413">IF(AJ26="Gamma",CG26,0)</f>
        <v>0</v>
      </c>
      <c r="AN26" s="161" t="e">
        <f t="shared" ref="AN26:AN30" si="414">VLOOKUP(C26,Export_Library,8,0)</f>
        <v>#REF!</v>
      </c>
      <c r="AO26" s="162">
        <v>0</v>
      </c>
      <c r="AP26" s="162" t="e">
        <f t="shared" ref="AP26:AP30" si="415">VLOOKUP(C26,Export_Library,9,0)</f>
        <v>#REF!</v>
      </c>
      <c r="AQ26" s="163">
        <f t="shared" ref="AQ26:AQ30" si="416">IF(AJ26="Gamma",CH26,-AK26*LN(1-0.05))</f>
        <v>0.41034635510040463</v>
      </c>
      <c r="AR26" s="163">
        <f t="shared" ref="AR26:AR30" si="417">IF(AJ26="Gamma",CJ26,-AK26*LN(1-0.5))</f>
        <v>5.5451774444795623</v>
      </c>
      <c r="AS26" s="163">
        <f t="shared" ref="AS26:AS30" si="418">IF(AJ26="Gamma",CK26,-AK26*LN(1-0.95))</f>
        <v>23.96585818843192</v>
      </c>
      <c r="AT26" s="163">
        <f t="shared" ref="AT26:AT30" si="419">IF(AJ26="Gamma",CI26,AK26)</f>
        <v>8</v>
      </c>
      <c r="AU26" s="163">
        <f t="shared" ref="AU26:AU30" si="420">IF(AJ26="Gamma",CL26,AK26)</f>
        <v>8</v>
      </c>
      <c r="AV26" s="163">
        <f t="shared" ref="AV26:AV30" si="421">AU26^2</f>
        <v>64</v>
      </c>
      <c r="AW26" s="252"/>
      <c r="BA26" s="67" t="e">
        <f t="shared" ref="BA26:BA30" si="422">1000000/P26</f>
        <v>#N/A</v>
      </c>
      <c r="BB26" s="68" t="e">
        <f t="shared" ref="BB26:BB30" si="423">1000000/O26</f>
        <v>#N/A</v>
      </c>
      <c r="BC26" s="68" t="e">
        <f t="shared" ref="BC26:BC30" si="424">1000000/N26</f>
        <v>#N/A</v>
      </c>
      <c r="BD26" s="42" t="e">
        <f t="shared" ref="BD26:BD30" si="425">BW26/2</f>
        <v>#N/A</v>
      </c>
      <c r="BE26" s="42" t="e">
        <f t="shared" ref="BE26:BE30" si="426">BD26/BB26</f>
        <v>#N/A</v>
      </c>
      <c r="BF26" s="42" t="e">
        <f t="shared" ref="BF26:BF30" si="427">1/BE26</f>
        <v>#N/A</v>
      </c>
      <c r="BG26" s="69" t="e">
        <f t="shared" ref="BG26:BG30" si="428">1/2/BE26*BX26</f>
        <v>#N/A</v>
      </c>
      <c r="BH26" s="69" t="e">
        <f t="shared" ref="BH26:BH30" si="429">BD26/BE26</f>
        <v>#N/A</v>
      </c>
      <c r="BI26" s="69" t="e">
        <f t="shared" ref="BI26:BI30" si="430">1/2/BE26*BY26</f>
        <v>#N/A</v>
      </c>
      <c r="BJ26" s="69" t="e">
        <f t="shared" ref="BJ26:BJ30" si="431">1/2/BE26*BZ26</f>
        <v>#N/A</v>
      </c>
      <c r="BK26" s="70" t="e">
        <f t="shared" ref="BK26:BK30" si="432">SQRT(BH26/BE26)</f>
        <v>#N/A</v>
      </c>
      <c r="BL26" s="71" t="e">
        <f t="shared" ref="BL26:BL30" si="433">BA26/BB26</f>
        <v>#N/A</v>
      </c>
      <c r="BM26" s="46" t="e">
        <v>#N/A</v>
      </c>
      <c r="BN26" s="47" t="e">
        <v>#N/A</v>
      </c>
      <c r="BO26" s="47" t="e">
        <v>#N/A</v>
      </c>
      <c r="BP26" s="47" t="e">
        <v>#N/A</v>
      </c>
      <c r="BQ26" s="47" t="e">
        <f t="shared" ref="BQ26:BQ30" si="434">BN26/BO26</f>
        <v>#N/A</v>
      </c>
      <c r="BR26" s="46" t="e">
        <f t="shared" ref="BR26:BR30" si="435">BM26+1</f>
        <v>#N/A</v>
      </c>
      <c r="BS26" s="47" t="e">
        <v>#N/A</v>
      </c>
      <c r="BT26" s="47" t="e">
        <v>#N/A</v>
      </c>
      <c r="BU26" s="47" t="e">
        <v>#N/A</v>
      </c>
      <c r="BV26" s="47" t="e">
        <f t="shared" ref="BV26:BV30" si="436">BS26/BT26</f>
        <v>#N/A</v>
      </c>
      <c r="BW26" s="47" t="e">
        <f t="shared" ref="BW26:BW30" si="437">(BL26-BQ26)/(BV26-BQ26)*(BR26-BM26)+BM26</f>
        <v>#N/A</v>
      </c>
      <c r="BX26" s="47" t="e">
        <f t="shared" ref="BX26:BX30" si="438">(BL26-BQ26)/(BV26-BQ26)*(BS26-BN26)+BN26</f>
        <v>#N/A</v>
      </c>
      <c r="BY26" s="47" t="e">
        <f t="shared" ref="BY26:BY30" si="439">(BL26-BQ26)/(BV26-BQ26)*(BT26-BO26)+BO26</f>
        <v>#N/A</v>
      </c>
      <c r="BZ26" s="48" t="e">
        <f t="shared" ref="BZ26:BZ30" si="440">(BL26-BQ26)/(BV26-BQ26)*(BU26-BP26)+BP26</f>
        <v>#N/A</v>
      </c>
      <c r="CB26" s="39" t="e">
        <f t="shared" ref="CB26:CB30" si="441">S26</f>
        <v>#N/A</v>
      </c>
      <c r="CC26" s="40" t="e">
        <f t="shared" ref="CC26:CC30" si="442">T26</f>
        <v>#N/A</v>
      </c>
      <c r="CD26" s="40" t="e">
        <f t="shared" ref="CD26:CD30" si="443">U26</f>
        <v>#N/A</v>
      </c>
      <c r="CE26" s="120" t="e">
        <f t="shared" ref="CE26:CE30" si="444">CX26/2</f>
        <v>#N/A</v>
      </c>
      <c r="CF26" s="42" t="e">
        <f t="shared" ref="CF26:CF30" si="445">CE26/CC26</f>
        <v>#N/A</v>
      </c>
      <c r="CG26" s="41" t="e">
        <f t="shared" ref="CG26:CG30" si="446">1/CF26</f>
        <v>#N/A</v>
      </c>
      <c r="CH26" s="43" t="e">
        <f t="shared" ref="CH26:CH30" si="447">1/2/CF26*CY26</f>
        <v>#N/A</v>
      </c>
      <c r="CI26" s="43" t="e">
        <f t="shared" ref="CI26:CI30" si="448">CE26/CF26</f>
        <v>#N/A</v>
      </c>
      <c r="CJ26" s="43" t="e">
        <f t="shared" ref="CJ26:CJ30" si="449">1/2/CF26*CZ26</f>
        <v>#N/A</v>
      </c>
      <c r="CK26" s="43" t="e">
        <f t="shared" ref="CK26:CK30" si="450">1/2/CF26*DA26</f>
        <v>#N/A</v>
      </c>
      <c r="CL26" s="44" t="e">
        <f t="shared" ref="CL26:CL30" si="451">SQRT(CI26/CF26)</f>
        <v>#N/A</v>
      </c>
      <c r="CM26" s="45" t="e">
        <f t="shared" ref="CM26:CM30" si="452">CB26/CC26</f>
        <v>#N/A</v>
      </c>
      <c r="CN26" s="46" t="e">
        <v>#N/A</v>
      </c>
      <c r="CO26" s="47" t="e">
        <v>#N/A</v>
      </c>
      <c r="CP26" s="47" t="e">
        <v>#N/A</v>
      </c>
      <c r="CQ26" s="47" t="e">
        <v>#N/A</v>
      </c>
      <c r="CR26" s="47" t="e">
        <f t="shared" ref="CR26:CR30" si="453">CO26/CP26</f>
        <v>#N/A</v>
      </c>
      <c r="CS26" s="46" t="e">
        <f t="shared" ref="CS26:CS30" si="454">CN26+1</f>
        <v>#N/A</v>
      </c>
      <c r="CT26" s="47" t="e">
        <v>#N/A</v>
      </c>
      <c r="CU26" s="47" t="e">
        <v>#N/A</v>
      </c>
      <c r="CV26" s="47" t="e">
        <v>#N/A</v>
      </c>
      <c r="CW26" s="47" t="e">
        <f t="shared" ref="CW26:CW30" si="455">CT26/CU26</f>
        <v>#N/A</v>
      </c>
      <c r="CX26" s="47" t="e">
        <f t="shared" ref="CX26:CX30" si="456">(CM26-CR26)/(CW26-CR26)*(CS26-CN26)+CN26</f>
        <v>#N/A</v>
      </c>
      <c r="CY26" s="47" t="e">
        <f t="shared" ref="CY26:CY30" si="457">(CM26-CR26)/(CW26-CR26)*(CT26-CO26)+CO26</f>
        <v>#N/A</v>
      </c>
      <c r="CZ26" s="47" t="e">
        <f t="shared" ref="CZ26:CZ30" si="458">(CM26-CR26)/(CW26-CR26)*(CU26-CP26)+CP26</f>
        <v>#N/A</v>
      </c>
      <c r="DA26" s="48" t="e">
        <f t="shared" ref="DA26:DA30" si="459">(CM26-CR26)/(CW26-CR26)*(CV26-CQ26)+CQ26</f>
        <v>#N/A</v>
      </c>
    </row>
    <row r="27" spans="1:105" x14ac:dyDescent="0.3">
      <c r="A27" s="158">
        <f t="shared" si="30"/>
        <v>22</v>
      </c>
      <c r="B27" s="158">
        <f t="shared" si="31"/>
        <v>22</v>
      </c>
      <c r="C27" s="74" t="s">
        <v>1347</v>
      </c>
      <c r="D27" s="72" t="s">
        <v>1348</v>
      </c>
      <c r="E27" s="250" t="s">
        <v>1374</v>
      </c>
      <c r="F27" s="158" t="s">
        <v>1365</v>
      </c>
      <c r="G27" s="159" t="s">
        <v>1377</v>
      </c>
      <c r="H27" s="157" t="e">
        <f t="shared" si="396"/>
        <v>#N/A</v>
      </c>
      <c r="I27" s="157" t="e">
        <f t="shared" si="396"/>
        <v>#N/A</v>
      </c>
      <c r="J27" s="223">
        <v>1</v>
      </c>
      <c r="K27" s="157" t="e">
        <f t="shared" si="396"/>
        <v>#N/A</v>
      </c>
      <c r="L27" s="157" t="e">
        <f t="shared" si="396"/>
        <v>#N/A</v>
      </c>
      <c r="M27" s="222">
        <f>0.00349315068493151</f>
        <v>3.4931506849315099E-3</v>
      </c>
      <c r="N27" s="240" t="e">
        <f t="shared" si="396"/>
        <v>#N/A</v>
      </c>
      <c r="O27" s="240" t="e">
        <f t="shared" si="396"/>
        <v>#N/A</v>
      </c>
      <c r="P27" s="240" t="e">
        <f t="shared" si="396"/>
        <v>#N/A</v>
      </c>
      <c r="Q27" s="240" t="e">
        <f t="shared" si="396"/>
        <v>#N/A</v>
      </c>
      <c r="R27" s="285">
        <f>M27/J27</f>
        <v>3.4931506849315099E-3</v>
      </c>
      <c r="S27" s="242" t="e">
        <f t="shared" si="5"/>
        <v>#N/A</v>
      </c>
      <c r="T27" s="242" t="e">
        <f t="shared" si="398"/>
        <v>#N/A</v>
      </c>
      <c r="U27" s="242" t="e">
        <f t="shared" si="398"/>
        <v>#N/A</v>
      </c>
      <c r="V27" s="226">
        <v>36</v>
      </c>
      <c r="W27" s="286" t="str">
        <f t="shared" si="334"/>
        <v>Exponential</v>
      </c>
      <c r="X27" s="160">
        <f t="shared" si="399"/>
        <v>286274509.80392134</v>
      </c>
      <c r="Y27" s="160" t="e">
        <f t="shared" si="400"/>
        <v>#REF!</v>
      </c>
      <c r="Z27" s="160">
        <f t="shared" si="401"/>
        <v>0</v>
      </c>
      <c r="AA27" s="160" t="e">
        <f t="shared" si="402"/>
        <v>#REF!</v>
      </c>
      <c r="AB27" s="160">
        <v>0</v>
      </c>
      <c r="AC27" s="160" t="e">
        <f t="shared" si="403"/>
        <v>#REF!</v>
      </c>
      <c r="AD27" s="160">
        <f t="shared" si="404"/>
        <v>14683962.707024271</v>
      </c>
      <c r="AE27" s="160">
        <f t="shared" si="405"/>
        <v>198430369.33676851</v>
      </c>
      <c r="AF27" s="160">
        <f t="shared" si="406"/>
        <v>857601788.11545527</v>
      </c>
      <c r="AG27" s="160">
        <f t="shared" si="407"/>
        <v>286274509.80392134</v>
      </c>
      <c r="AH27" s="160">
        <f t="shared" si="408"/>
        <v>286274509.80392134</v>
      </c>
      <c r="AI27" s="160">
        <f t="shared" si="409"/>
        <v>8.1953094963475456E+16</v>
      </c>
      <c r="AJ27" s="158" t="str">
        <f t="shared" si="410"/>
        <v>Exponential</v>
      </c>
      <c r="AK27" s="161">
        <f t="shared" si="411"/>
        <v>36</v>
      </c>
      <c r="AL27" s="161" t="e">
        <f t="shared" si="412"/>
        <v>#REF!</v>
      </c>
      <c r="AM27" s="161">
        <f t="shared" si="413"/>
        <v>0</v>
      </c>
      <c r="AN27" s="161" t="e">
        <f t="shared" si="414"/>
        <v>#REF!</v>
      </c>
      <c r="AO27" s="162">
        <v>0</v>
      </c>
      <c r="AP27" s="162" t="e">
        <f t="shared" si="415"/>
        <v>#REF!</v>
      </c>
      <c r="AQ27" s="163">
        <f t="shared" si="416"/>
        <v>1.8465585979518209</v>
      </c>
      <c r="AR27" s="163">
        <f t="shared" si="417"/>
        <v>24.953298500158031</v>
      </c>
      <c r="AS27" s="163">
        <f t="shared" si="418"/>
        <v>107.84636184794364</v>
      </c>
      <c r="AT27" s="163">
        <f t="shared" si="419"/>
        <v>36</v>
      </c>
      <c r="AU27" s="163">
        <f t="shared" si="420"/>
        <v>36</v>
      </c>
      <c r="AV27" s="163">
        <f t="shared" si="421"/>
        <v>1296</v>
      </c>
      <c r="AW27" s="252"/>
      <c r="BA27" s="67" t="e">
        <f t="shared" si="422"/>
        <v>#N/A</v>
      </c>
      <c r="BB27" s="68" t="e">
        <f t="shared" si="423"/>
        <v>#N/A</v>
      </c>
      <c r="BC27" s="68" t="e">
        <f t="shared" si="424"/>
        <v>#N/A</v>
      </c>
      <c r="BD27" s="42" t="e">
        <f t="shared" si="425"/>
        <v>#N/A</v>
      </c>
      <c r="BE27" s="42" t="e">
        <f t="shared" si="426"/>
        <v>#N/A</v>
      </c>
      <c r="BF27" s="42" t="e">
        <f t="shared" si="427"/>
        <v>#N/A</v>
      </c>
      <c r="BG27" s="69" t="e">
        <f t="shared" si="428"/>
        <v>#N/A</v>
      </c>
      <c r="BH27" s="69" t="e">
        <f t="shared" si="429"/>
        <v>#N/A</v>
      </c>
      <c r="BI27" s="69" t="e">
        <f t="shared" si="430"/>
        <v>#N/A</v>
      </c>
      <c r="BJ27" s="69" t="e">
        <f t="shared" si="431"/>
        <v>#N/A</v>
      </c>
      <c r="BK27" s="70" t="e">
        <f t="shared" si="432"/>
        <v>#N/A</v>
      </c>
      <c r="BL27" s="71" t="e">
        <f t="shared" si="433"/>
        <v>#N/A</v>
      </c>
      <c r="BM27" s="46" t="e">
        <v>#N/A</v>
      </c>
      <c r="BN27" s="47" t="e">
        <v>#N/A</v>
      </c>
      <c r="BO27" s="47" t="e">
        <v>#N/A</v>
      </c>
      <c r="BP27" s="47" t="e">
        <v>#N/A</v>
      </c>
      <c r="BQ27" s="47" t="e">
        <f t="shared" si="434"/>
        <v>#N/A</v>
      </c>
      <c r="BR27" s="46" t="e">
        <f t="shared" si="435"/>
        <v>#N/A</v>
      </c>
      <c r="BS27" s="47" t="e">
        <v>#N/A</v>
      </c>
      <c r="BT27" s="47" t="e">
        <v>#N/A</v>
      </c>
      <c r="BU27" s="47" t="e">
        <v>#N/A</v>
      </c>
      <c r="BV27" s="47" t="e">
        <f t="shared" si="436"/>
        <v>#N/A</v>
      </c>
      <c r="BW27" s="47" t="e">
        <f t="shared" si="437"/>
        <v>#N/A</v>
      </c>
      <c r="BX27" s="47" t="e">
        <f t="shared" si="438"/>
        <v>#N/A</v>
      </c>
      <c r="BY27" s="47" t="e">
        <f t="shared" si="439"/>
        <v>#N/A</v>
      </c>
      <c r="BZ27" s="48" t="e">
        <f t="shared" si="440"/>
        <v>#N/A</v>
      </c>
      <c r="CB27" s="39" t="e">
        <f t="shared" si="441"/>
        <v>#N/A</v>
      </c>
      <c r="CC27" s="40" t="e">
        <f t="shared" si="442"/>
        <v>#N/A</v>
      </c>
      <c r="CD27" s="40" t="e">
        <f t="shared" si="443"/>
        <v>#N/A</v>
      </c>
      <c r="CE27" s="120" t="e">
        <f t="shared" si="444"/>
        <v>#N/A</v>
      </c>
      <c r="CF27" s="42" t="e">
        <f t="shared" si="445"/>
        <v>#N/A</v>
      </c>
      <c r="CG27" s="41" t="e">
        <f t="shared" si="446"/>
        <v>#N/A</v>
      </c>
      <c r="CH27" s="43" t="e">
        <f t="shared" si="447"/>
        <v>#N/A</v>
      </c>
      <c r="CI27" s="43" t="e">
        <f t="shared" si="448"/>
        <v>#N/A</v>
      </c>
      <c r="CJ27" s="43" t="e">
        <f t="shared" si="449"/>
        <v>#N/A</v>
      </c>
      <c r="CK27" s="43" t="e">
        <f t="shared" si="450"/>
        <v>#N/A</v>
      </c>
      <c r="CL27" s="44" t="e">
        <f t="shared" si="451"/>
        <v>#N/A</v>
      </c>
      <c r="CM27" s="45" t="e">
        <f t="shared" si="452"/>
        <v>#N/A</v>
      </c>
      <c r="CN27" s="46" t="e">
        <v>#N/A</v>
      </c>
      <c r="CO27" s="47" t="e">
        <v>#N/A</v>
      </c>
      <c r="CP27" s="47" t="e">
        <v>#N/A</v>
      </c>
      <c r="CQ27" s="47" t="e">
        <v>#N/A</v>
      </c>
      <c r="CR27" s="47" t="e">
        <f t="shared" si="453"/>
        <v>#N/A</v>
      </c>
      <c r="CS27" s="46" t="e">
        <f t="shared" si="454"/>
        <v>#N/A</v>
      </c>
      <c r="CT27" s="47" t="e">
        <v>#N/A</v>
      </c>
      <c r="CU27" s="47" t="e">
        <v>#N/A</v>
      </c>
      <c r="CV27" s="47" t="e">
        <v>#N/A</v>
      </c>
      <c r="CW27" s="47" t="e">
        <f t="shared" si="455"/>
        <v>#N/A</v>
      </c>
      <c r="CX27" s="47" t="e">
        <f t="shared" si="456"/>
        <v>#N/A</v>
      </c>
      <c r="CY27" s="47" t="e">
        <f t="shared" si="457"/>
        <v>#N/A</v>
      </c>
      <c r="CZ27" s="47" t="e">
        <f t="shared" si="458"/>
        <v>#N/A</v>
      </c>
      <c r="DA27" s="48" t="e">
        <f t="shared" si="459"/>
        <v>#N/A</v>
      </c>
    </row>
    <row r="28" spans="1:105" s="143" customFormat="1" x14ac:dyDescent="0.3">
      <c r="A28" s="158">
        <f t="shared" si="30"/>
        <v>23</v>
      </c>
      <c r="B28" s="158">
        <f t="shared" si="31"/>
        <v>23</v>
      </c>
      <c r="C28" s="74" t="s">
        <v>1351</v>
      </c>
      <c r="D28" s="72" t="s">
        <v>1359</v>
      </c>
      <c r="E28" s="196" t="s">
        <v>1028</v>
      </c>
      <c r="F28" s="158" t="s">
        <v>423</v>
      </c>
      <c r="G28" s="221" t="s">
        <v>1027</v>
      </c>
      <c r="H28" s="157">
        <f t="shared" si="396"/>
        <v>50</v>
      </c>
      <c r="I28" s="157">
        <f t="shared" si="396"/>
        <v>5</v>
      </c>
      <c r="J28" s="157">
        <f t="shared" si="396"/>
        <v>0.84670000000000001</v>
      </c>
      <c r="K28" s="157">
        <f t="shared" si="396"/>
        <v>0.84040000000000004</v>
      </c>
      <c r="L28" s="157" t="str">
        <f t="shared" si="396"/>
        <v>All Modes</v>
      </c>
      <c r="M28" s="157">
        <f t="shared" si="396"/>
        <v>16</v>
      </c>
      <c r="N28" s="240">
        <f t="shared" si="396"/>
        <v>1.46</v>
      </c>
      <c r="O28" s="240">
        <f t="shared" si="396"/>
        <v>27.77</v>
      </c>
      <c r="P28" s="240">
        <f t="shared" si="396"/>
        <v>82.71</v>
      </c>
      <c r="Q28" s="240">
        <f t="shared" si="396"/>
        <v>27.58</v>
      </c>
      <c r="R28" s="240">
        <f t="shared" si="396"/>
        <v>19.04</v>
      </c>
      <c r="S28" s="242">
        <f t="shared" si="5"/>
        <v>0.3</v>
      </c>
      <c r="T28" s="242">
        <f t="shared" si="398"/>
        <v>4.5999999999999996</v>
      </c>
      <c r="U28" s="242">
        <f t="shared" si="398"/>
        <v>11</v>
      </c>
      <c r="V28" s="163"/>
      <c r="W28" s="158" t="str">
        <f t="shared" ref="W28:W30" si="460">IF(F28="OREDA","Gamma","Exponential")</f>
        <v>Gamma</v>
      </c>
      <c r="X28" s="160">
        <f t="shared" si="399"/>
        <v>3.4190461078823828</v>
      </c>
      <c r="Y28" s="160" t="e">
        <f t="shared" si="400"/>
        <v>#REF!</v>
      </c>
      <c r="Z28" s="160">
        <f t="shared" si="401"/>
        <v>10532.201581070127</v>
      </c>
      <c r="AA28" s="160" t="e">
        <f t="shared" si="402"/>
        <v>#REF!</v>
      </c>
      <c r="AB28" s="160">
        <v>0</v>
      </c>
      <c r="AC28" s="160" t="e">
        <f t="shared" si="403"/>
        <v>#REF!</v>
      </c>
      <c r="AD28" s="160">
        <f t="shared" si="404"/>
        <v>10959.91595458711</v>
      </c>
      <c r="AE28" s="160">
        <f t="shared" si="405"/>
        <v>32567.028682460957</v>
      </c>
      <c r="AF28" s="160">
        <f t="shared" si="406"/>
        <v>72820.889195304291</v>
      </c>
      <c r="AG28" s="160">
        <f t="shared" si="407"/>
        <v>36010.082823190496</v>
      </c>
      <c r="AH28" s="160">
        <f t="shared" si="408"/>
        <v>19474.738797859991</v>
      </c>
      <c r="AI28" s="160">
        <f t="shared" si="409"/>
        <v>379265451.24487323</v>
      </c>
      <c r="AJ28" s="158" t="str">
        <f t="shared" si="410"/>
        <v>Gamma</v>
      </c>
      <c r="AK28" s="161">
        <f t="shared" si="411"/>
        <v>0.93280637032789437</v>
      </c>
      <c r="AL28" s="161" t="e">
        <f t="shared" si="412"/>
        <v>#REF!</v>
      </c>
      <c r="AM28" s="161">
        <f t="shared" si="413"/>
        <v>4.9313556878723244</v>
      </c>
      <c r="AN28" s="161" t="e">
        <f t="shared" si="414"/>
        <v>#REF!</v>
      </c>
      <c r="AO28" s="162">
        <v>0</v>
      </c>
      <c r="AP28" s="162" t="e">
        <f t="shared" si="415"/>
        <v>#REF!</v>
      </c>
      <c r="AQ28" s="163">
        <f t="shared" si="416"/>
        <v>0.22025576639179376</v>
      </c>
      <c r="AR28" s="163">
        <f t="shared" si="417"/>
        <v>3.1095445737748997</v>
      </c>
      <c r="AS28" s="163">
        <f t="shared" si="418"/>
        <v>14.060604869254236</v>
      </c>
      <c r="AT28" s="163">
        <f t="shared" si="419"/>
        <v>4.5999999999999996</v>
      </c>
      <c r="AU28" s="163">
        <f t="shared" si="420"/>
        <v>4.7627970945876639</v>
      </c>
      <c r="AV28" s="163">
        <f t="shared" si="421"/>
        <v>22.684236164212692</v>
      </c>
      <c r="AW28" s="252"/>
      <c r="BA28" s="67">
        <f t="shared" si="422"/>
        <v>12090.436464756378</v>
      </c>
      <c r="BB28" s="68">
        <f t="shared" si="423"/>
        <v>36010.082823190496</v>
      </c>
      <c r="BC28" s="68">
        <f t="shared" si="424"/>
        <v>684931.50684931513</v>
      </c>
      <c r="BD28" s="42">
        <f t="shared" si="425"/>
        <v>3.4190461078823828</v>
      </c>
      <c r="BE28" s="42">
        <f t="shared" si="426"/>
        <v>9.4946910415893765E-5</v>
      </c>
      <c r="BF28" s="42">
        <f t="shared" si="427"/>
        <v>10532.201581070127</v>
      </c>
      <c r="BG28" s="69">
        <f t="shared" si="428"/>
        <v>10959.91595458711</v>
      </c>
      <c r="BH28" s="69">
        <f t="shared" si="429"/>
        <v>36010.082823190496</v>
      </c>
      <c r="BI28" s="69">
        <f t="shared" si="430"/>
        <v>32567.028682460957</v>
      </c>
      <c r="BJ28" s="69">
        <f t="shared" si="431"/>
        <v>72820.889195304291</v>
      </c>
      <c r="BK28" s="70">
        <f t="shared" si="432"/>
        <v>19474.738797859991</v>
      </c>
      <c r="BL28" s="71">
        <f t="shared" si="433"/>
        <v>0.3357514206262846</v>
      </c>
      <c r="BM28" s="46">
        <v>6</v>
      </c>
      <c r="BN28" s="47">
        <v>1.6353828954369192</v>
      </c>
      <c r="BO28" s="47">
        <v>5.3481208434097312</v>
      </c>
      <c r="BP28" s="47">
        <v>12.591587244072656</v>
      </c>
      <c r="BQ28" s="47">
        <f t="shared" si="434"/>
        <v>0.30578645160049706</v>
      </c>
      <c r="BR28" s="46">
        <f t="shared" si="435"/>
        <v>7</v>
      </c>
      <c r="BS28" s="47">
        <v>2.1673499186219098</v>
      </c>
      <c r="BT28" s="47">
        <v>6.3458113725816272</v>
      </c>
      <c r="BU28" s="47">
        <v>14.067140433005996</v>
      </c>
      <c r="BV28" s="47">
        <f t="shared" si="436"/>
        <v>0.34154023675938233</v>
      </c>
      <c r="BW28" s="47">
        <f t="shared" si="437"/>
        <v>6.8380922157647657</v>
      </c>
      <c r="BX28" s="47">
        <f t="shared" si="438"/>
        <v>2.0812203166118142</v>
      </c>
      <c r="BY28" s="47">
        <f t="shared" si="439"/>
        <v>6.1842775096509266</v>
      </c>
      <c r="BZ28" s="48">
        <f t="shared" si="440"/>
        <v>13.828236885664564</v>
      </c>
      <c r="CB28" s="39">
        <f t="shared" si="441"/>
        <v>0.3</v>
      </c>
      <c r="CC28" s="40">
        <f t="shared" si="442"/>
        <v>4.5999999999999996</v>
      </c>
      <c r="CD28" s="40">
        <f t="shared" si="443"/>
        <v>11</v>
      </c>
      <c r="CE28" s="120">
        <f t="shared" si="444"/>
        <v>0.93280637032789437</v>
      </c>
      <c r="CF28" s="42">
        <f t="shared" si="445"/>
        <v>0.20278399354954227</v>
      </c>
      <c r="CG28" s="41">
        <f t="shared" si="446"/>
        <v>4.9313556878723244</v>
      </c>
      <c r="CH28" s="43">
        <f t="shared" si="447"/>
        <v>0.22025576639179376</v>
      </c>
      <c r="CI28" s="43">
        <f t="shared" si="448"/>
        <v>4.5999999999999996</v>
      </c>
      <c r="CJ28" s="43">
        <f t="shared" si="449"/>
        <v>3.1095445737748997</v>
      </c>
      <c r="CK28" s="43">
        <f t="shared" si="450"/>
        <v>14.060604869254236</v>
      </c>
      <c r="CL28" s="44">
        <f t="shared" si="451"/>
        <v>4.7627970945876639</v>
      </c>
      <c r="CM28" s="45">
        <f t="shared" si="452"/>
        <v>6.5217391304347824E-2</v>
      </c>
      <c r="CN28" s="46">
        <v>1</v>
      </c>
      <c r="CO28" s="47">
        <v>3.9321400005324098E-3</v>
      </c>
      <c r="CP28" s="47">
        <v>0.4549364250484666</v>
      </c>
      <c r="CQ28" s="47">
        <v>3.841459149489757</v>
      </c>
      <c r="CR28" s="47">
        <f t="shared" si="453"/>
        <v>8.6432736180961992E-3</v>
      </c>
      <c r="CS28" s="46">
        <f t="shared" si="454"/>
        <v>2</v>
      </c>
      <c r="CT28" s="47">
        <v>0.10258658882167279</v>
      </c>
      <c r="CU28" s="47">
        <v>1.3862943760896287</v>
      </c>
      <c r="CV28" s="47">
        <v>5.9914645471914136</v>
      </c>
      <c r="CW28" s="47">
        <f t="shared" si="455"/>
        <v>7.4000580678284605E-2</v>
      </c>
      <c r="CX28" s="47">
        <f t="shared" si="456"/>
        <v>1.8656127406557887</v>
      </c>
      <c r="CY28" s="47">
        <f t="shared" si="457"/>
        <v>8.9328687822485986E-2</v>
      </c>
      <c r="CZ28" s="47">
        <f t="shared" si="458"/>
        <v>1.2611317335807668</v>
      </c>
      <c r="DA28" s="48">
        <f t="shared" si="459"/>
        <v>5.702531214219027</v>
      </c>
    </row>
    <row r="29" spans="1:105" x14ac:dyDescent="0.3">
      <c r="A29" s="158">
        <f t="shared" si="30"/>
        <v>24</v>
      </c>
      <c r="B29" s="158">
        <f t="shared" si="31"/>
        <v>24</v>
      </c>
      <c r="C29" s="74" t="s">
        <v>1354</v>
      </c>
      <c r="D29" s="164" t="s">
        <v>1357</v>
      </c>
      <c r="E29" s="250" t="s">
        <v>1289</v>
      </c>
      <c r="F29" s="158" t="s">
        <v>423</v>
      </c>
      <c r="G29" s="159" t="s">
        <v>1290</v>
      </c>
      <c r="H29" s="157">
        <f t="shared" si="396"/>
        <v>15</v>
      </c>
      <c r="I29" s="157">
        <f t="shared" si="396"/>
        <v>7</v>
      </c>
      <c r="J29" s="157">
        <f t="shared" si="396"/>
        <v>0.377</v>
      </c>
      <c r="K29" s="157">
        <f t="shared" si="396"/>
        <v>0.31040000000000001</v>
      </c>
      <c r="L29" s="157" t="str">
        <f t="shared" si="396"/>
        <v>All Modes</v>
      </c>
      <c r="M29" s="157">
        <f t="shared" si="396"/>
        <v>618</v>
      </c>
      <c r="N29" s="240">
        <f t="shared" si="396"/>
        <v>621.08000000000004</v>
      </c>
      <c r="O29" s="240">
        <f t="shared" si="396"/>
        <v>2147.12</v>
      </c>
      <c r="P29" s="240">
        <f t="shared" si="396"/>
        <v>4422.99</v>
      </c>
      <c r="Q29" s="240">
        <f t="shared" si="396"/>
        <v>1200.56</v>
      </c>
      <c r="R29" s="240">
        <f t="shared" si="396"/>
        <v>1990.88</v>
      </c>
      <c r="S29" s="242">
        <f t="shared" si="5"/>
        <v>0.3</v>
      </c>
      <c r="T29" s="242">
        <f t="shared" si="398"/>
        <v>23</v>
      </c>
      <c r="U29" s="242">
        <f t="shared" si="398"/>
        <v>1500</v>
      </c>
      <c r="V29" s="163"/>
      <c r="W29" s="158" t="str">
        <f t="shared" si="460"/>
        <v>Gamma</v>
      </c>
      <c r="X29" s="160">
        <f t="shared" si="399"/>
        <v>6.7639462203852876</v>
      </c>
      <c r="Y29" s="160" t="e">
        <f t="shared" si="400"/>
        <v>#REF!</v>
      </c>
      <c r="Z29" s="160">
        <f t="shared" si="401"/>
        <v>68.856276954048525</v>
      </c>
      <c r="AA29" s="160" t="e">
        <f t="shared" si="402"/>
        <v>#REF!</v>
      </c>
      <c r="AB29" s="160">
        <v>0</v>
      </c>
      <c r="AC29" s="160" t="e">
        <f t="shared" si="403"/>
        <v>#REF!</v>
      </c>
      <c r="AD29" s="160">
        <f t="shared" si="404"/>
        <v>215.18207574548819</v>
      </c>
      <c r="AE29" s="160">
        <f t="shared" si="405"/>
        <v>443.00043752241936</v>
      </c>
      <c r="AF29" s="160">
        <f t="shared" si="406"/>
        <v>793.92343833911627</v>
      </c>
      <c r="AG29" s="160">
        <f t="shared" si="407"/>
        <v>465.74015425313911</v>
      </c>
      <c r="AH29" s="160">
        <f t="shared" si="408"/>
        <v>179.07856669594892</v>
      </c>
      <c r="AI29" s="160">
        <f t="shared" si="409"/>
        <v>32069.133049875425</v>
      </c>
      <c r="AJ29" s="158" t="str">
        <f t="shared" si="410"/>
        <v>Gamma</v>
      </c>
      <c r="AK29" s="161">
        <f t="shared" si="411"/>
        <v>0.53366268318492038</v>
      </c>
      <c r="AL29" s="161" t="e">
        <f t="shared" si="412"/>
        <v>#REF!</v>
      </c>
      <c r="AM29" s="161">
        <f t="shared" si="413"/>
        <v>43.098385412176604</v>
      </c>
      <c r="AN29" s="161" t="e">
        <f t="shared" si="414"/>
        <v>#REF!</v>
      </c>
      <c r="AO29" s="162">
        <v>0</v>
      </c>
      <c r="AP29" s="162" t="e">
        <f t="shared" si="415"/>
        <v>#REF!</v>
      </c>
      <c r="AQ29" s="163">
        <f t="shared" si="416"/>
        <v>0.2278630365453396</v>
      </c>
      <c r="AR29" s="163">
        <f t="shared" si="417"/>
        <v>11.154733601001475</v>
      </c>
      <c r="AS29" s="163">
        <f t="shared" si="418"/>
        <v>85.89958699785592</v>
      </c>
      <c r="AT29" s="163">
        <f t="shared" si="419"/>
        <v>23</v>
      </c>
      <c r="AU29" s="163">
        <f t="shared" si="420"/>
        <v>31.484327283270034</v>
      </c>
      <c r="AV29" s="163">
        <f t="shared" si="421"/>
        <v>991.26286448006181</v>
      </c>
      <c r="AW29" s="252"/>
      <c r="BA29" s="67">
        <f t="shared" si="422"/>
        <v>226.09139970924647</v>
      </c>
      <c r="BB29" s="68">
        <f t="shared" si="423"/>
        <v>465.74015425313911</v>
      </c>
      <c r="BC29" s="68">
        <f t="shared" si="424"/>
        <v>1610.0985380305274</v>
      </c>
      <c r="BD29" s="42">
        <f t="shared" si="425"/>
        <v>6.7639462203852876</v>
      </c>
      <c r="BE29" s="42">
        <f t="shared" si="426"/>
        <v>1.4523004208713658E-2</v>
      </c>
      <c r="BF29" s="42">
        <f t="shared" si="427"/>
        <v>68.856276954048525</v>
      </c>
      <c r="BG29" s="69">
        <f t="shared" si="428"/>
        <v>215.18207574548819</v>
      </c>
      <c r="BH29" s="69">
        <f t="shared" si="429"/>
        <v>465.74015425313911</v>
      </c>
      <c r="BI29" s="69">
        <f t="shared" si="430"/>
        <v>443.00043752241936</v>
      </c>
      <c r="BJ29" s="69">
        <f t="shared" si="431"/>
        <v>793.92343833911627</v>
      </c>
      <c r="BK29" s="70">
        <f t="shared" si="432"/>
        <v>179.07856669594892</v>
      </c>
      <c r="BL29" s="71">
        <f t="shared" si="433"/>
        <v>0.48544536614371725</v>
      </c>
      <c r="BM29" s="46">
        <v>13</v>
      </c>
      <c r="BN29" s="47">
        <v>5.8918643681876564</v>
      </c>
      <c r="BO29" s="47">
        <v>12.33975613534936</v>
      </c>
      <c r="BP29" s="47">
        <v>22.362032496585705</v>
      </c>
      <c r="BQ29" s="47">
        <f t="shared" si="434"/>
        <v>0.47747008154475556</v>
      </c>
      <c r="BR29" s="46">
        <f t="shared" si="435"/>
        <v>14</v>
      </c>
      <c r="BS29" s="47">
        <v>6.5706314569382283</v>
      </c>
      <c r="BT29" s="47">
        <v>13.339274713566951</v>
      </c>
      <c r="BU29" s="47">
        <v>23.684791305531363</v>
      </c>
      <c r="BV29" s="47">
        <f t="shared" si="436"/>
        <v>0.49257786484114074</v>
      </c>
      <c r="BW29" s="47">
        <f t="shared" si="437"/>
        <v>13.527892440770575</v>
      </c>
      <c r="BX29" s="47">
        <f t="shared" si="438"/>
        <v>6.2501803833829328</v>
      </c>
      <c r="BY29" s="47">
        <f t="shared" si="439"/>
        <v>12.867394437200177</v>
      </c>
      <c r="BZ29" s="48">
        <f t="shared" si="440"/>
        <v>23.060306872790807</v>
      </c>
      <c r="CB29" s="39">
        <f t="shared" si="441"/>
        <v>0.3</v>
      </c>
      <c r="CC29" s="40">
        <f t="shared" si="442"/>
        <v>23</v>
      </c>
      <c r="CD29" s="40">
        <f t="shared" si="443"/>
        <v>1500</v>
      </c>
      <c r="CE29" s="120">
        <f t="shared" si="444"/>
        <v>0.53366268318492038</v>
      </c>
      <c r="CF29" s="42">
        <f t="shared" si="445"/>
        <v>2.3202725355866104E-2</v>
      </c>
      <c r="CG29" s="41">
        <f t="shared" si="446"/>
        <v>43.098385412176604</v>
      </c>
      <c r="CH29" s="43">
        <f t="shared" si="447"/>
        <v>0.2278630365453396</v>
      </c>
      <c r="CI29" s="43">
        <f t="shared" si="448"/>
        <v>23</v>
      </c>
      <c r="CJ29" s="43">
        <f t="shared" si="449"/>
        <v>11.154733601001475</v>
      </c>
      <c r="CK29" s="43">
        <f t="shared" si="450"/>
        <v>85.89958699785592</v>
      </c>
      <c r="CL29" s="44">
        <f t="shared" si="451"/>
        <v>31.484327283270034</v>
      </c>
      <c r="CM29" s="45">
        <f t="shared" si="452"/>
        <v>1.3043478260869565E-2</v>
      </c>
      <c r="CN29" s="46">
        <v>1</v>
      </c>
      <c r="CO29" s="47">
        <v>3.9321400005324098E-3</v>
      </c>
      <c r="CP29" s="47">
        <v>0.4549364250484666</v>
      </c>
      <c r="CQ29" s="47">
        <v>3.841459149489757</v>
      </c>
      <c r="CR29" s="47">
        <f t="shared" si="453"/>
        <v>8.6432736180961992E-3</v>
      </c>
      <c r="CS29" s="46">
        <f t="shared" si="454"/>
        <v>2</v>
      </c>
      <c r="CT29" s="47">
        <v>0.10258658882167279</v>
      </c>
      <c r="CU29" s="47">
        <v>1.3862943760896287</v>
      </c>
      <c r="CV29" s="47">
        <v>5.9914645471914136</v>
      </c>
      <c r="CW29" s="47">
        <f t="shared" si="455"/>
        <v>7.4000580678284605E-2</v>
      </c>
      <c r="CX29" s="47">
        <f t="shared" si="456"/>
        <v>1.0673253663698408</v>
      </c>
      <c r="CY29" s="47">
        <f t="shared" si="457"/>
        <v>1.0574086911430393E-2</v>
      </c>
      <c r="CZ29" s="47">
        <f t="shared" si="458"/>
        <v>0.5176404403237771</v>
      </c>
      <c r="DA29" s="48">
        <f t="shared" si="459"/>
        <v>3.9862090505871564</v>
      </c>
    </row>
    <row r="30" spans="1:105" s="143" customFormat="1" x14ac:dyDescent="0.3">
      <c r="A30" s="158">
        <f t="shared" si="30"/>
        <v>25</v>
      </c>
      <c r="B30" s="158">
        <f t="shared" si="31"/>
        <v>25</v>
      </c>
      <c r="C30" s="74" t="s">
        <v>1355</v>
      </c>
      <c r="D30" s="72" t="s">
        <v>1356</v>
      </c>
      <c r="E30" s="250" t="s">
        <v>1291</v>
      </c>
      <c r="F30" s="158" t="s">
        <v>423</v>
      </c>
      <c r="G30" s="159" t="s">
        <v>468</v>
      </c>
      <c r="H30" s="157">
        <f t="shared" si="396"/>
        <v>22</v>
      </c>
      <c r="I30" s="157">
        <f t="shared" si="396"/>
        <v>8</v>
      </c>
      <c r="J30" s="157">
        <f t="shared" si="396"/>
        <v>0.59989999999999999</v>
      </c>
      <c r="K30" s="157">
        <f t="shared" si="396"/>
        <v>0.42880000000000001</v>
      </c>
      <c r="L30" s="157" t="str">
        <f t="shared" si="396"/>
        <v>All Modes</v>
      </c>
      <c r="M30" s="157">
        <f t="shared" si="396"/>
        <v>385</v>
      </c>
      <c r="N30" s="240">
        <f t="shared" si="396"/>
        <v>196.4</v>
      </c>
      <c r="O30" s="240">
        <f t="shared" si="396"/>
        <v>915.39</v>
      </c>
      <c r="P30" s="240">
        <f t="shared" si="396"/>
        <v>2069.36</v>
      </c>
      <c r="Q30" s="240">
        <f t="shared" si="396"/>
        <v>599.86</v>
      </c>
      <c r="R30" s="240">
        <f t="shared" si="396"/>
        <v>897.94</v>
      </c>
      <c r="S30" s="242">
        <f t="shared" si="5"/>
        <v>0.3</v>
      </c>
      <c r="T30" s="242">
        <f t="shared" si="398"/>
        <v>19</v>
      </c>
      <c r="U30" s="242">
        <f t="shared" si="398"/>
        <v>192</v>
      </c>
      <c r="V30" s="163"/>
      <c r="W30" s="158" t="str">
        <f t="shared" si="460"/>
        <v>Gamma</v>
      </c>
      <c r="X30" s="160">
        <f t="shared" si="399"/>
        <v>5.4989920196865292</v>
      </c>
      <c r="Y30" s="160" t="e">
        <f t="shared" si="400"/>
        <v>#REF!</v>
      </c>
      <c r="Z30" s="160">
        <f t="shared" si="401"/>
        <v>198.66014440772707</v>
      </c>
      <c r="AA30" s="160" t="e">
        <f t="shared" si="402"/>
        <v>#REF!</v>
      </c>
      <c r="AB30" s="160">
        <v>0</v>
      </c>
      <c r="AC30" s="160" t="e">
        <f t="shared" si="403"/>
        <v>#REF!</v>
      </c>
      <c r="AD30" s="160">
        <f t="shared" si="404"/>
        <v>454.28945775435989</v>
      </c>
      <c r="AE30" s="160">
        <f t="shared" si="405"/>
        <v>1026.9720212315212</v>
      </c>
      <c r="AF30" s="160">
        <f t="shared" si="406"/>
        <v>1954.058879924743</v>
      </c>
      <c r="AG30" s="160">
        <f t="shared" si="407"/>
        <v>1092.4305487278646</v>
      </c>
      <c r="AH30" s="160">
        <f t="shared" si="408"/>
        <v>465.85664164600047</v>
      </c>
      <c r="AI30" s="160">
        <f t="shared" si="409"/>
        <v>217022.41056569011</v>
      </c>
      <c r="AJ30" s="158" t="str">
        <f t="shared" si="410"/>
        <v>Gamma</v>
      </c>
      <c r="AK30" s="161">
        <f t="shared" si="411"/>
        <v>0.55467024566612955</v>
      </c>
      <c r="AL30" s="161" t="e">
        <f t="shared" si="412"/>
        <v>#REF!</v>
      </c>
      <c r="AM30" s="161">
        <f t="shared" si="413"/>
        <v>34.254586663796985</v>
      </c>
      <c r="AN30" s="161" t="e">
        <f t="shared" si="414"/>
        <v>#REF!</v>
      </c>
      <c r="AO30" s="162">
        <v>0</v>
      </c>
      <c r="AP30" s="162" t="e">
        <f t="shared" si="415"/>
        <v>#REF!</v>
      </c>
      <c r="AQ30" s="163">
        <f t="shared" si="416"/>
        <v>0.25209775935643841</v>
      </c>
      <c r="AR30" s="163">
        <f t="shared" si="417"/>
        <v>9.5359898444744804</v>
      </c>
      <c r="AS30" s="163">
        <f t="shared" si="418"/>
        <v>69.820127120546488</v>
      </c>
      <c r="AT30" s="163">
        <f t="shared" si="419"/>
        <v>19</v>
      </c>
      <c r="AU30" s="163">
        <f t="shared" si="420"/>
        <v>25.511510080983893</v>
      </c>
      <c r="AV30" s="163">
        <f t="shared" si="421"/>
        <v>650.83714661214276</v>
      </c>
      <c r="AW30" s="252"/>
      <c r="BA30" s="67">
        <f t="shared" si="422"/>
        <v>483.24119534542075</v>
      </c>
      <c r="BB30" s="68">
        <f t="shared" si="423"/>
        <v>1092.4305487278646</v>
      </c>
      <c r="BC30" s="68">
        <f t="shared" si="424"/>
        <v>5091.6496945010185</v>
      </c>
      <c r="BD30" s="42">
        <f t="shared" si="425"/>
        <v>5.4989920196865292</v>
      </c>
      <c r="BE30" s="42">
        <f t="shared" si="426"/>
        <v>5.033722304900852E-3</v>
      </c>
      <c r="BF30" s="42">
        <f t="shared" si="427"/>
        <v>198.66014440772707</v>
      </c>
      <c r="BG30" s="69">
        <f t="shared" si="428"/>
        <v>454.28945775435989</v>
      </c>
      <c r="BH30" s="69">
        <f t="shared" si="429"/>
        <v>1092.4305487278646</v>
      </c>
      <c r="BI30" s="69">
        <f t="shared" si="430"/>
        <v>1026.9720212315212</v>
      </c>
      <c r="BJ30" s="69">
        <f t="shared" si="431"/>
        <v>1954.058879924743</v>
      </c>
      <c r="BK30" s="70">
        <f t="shared" si="432"/>
        <v>465.85664164600047</v>
      </c>
      <c r="BL30" s="71">
        <f t="shared" si="433"/>
        <v>0.44235415780724474</v>
      </c>
      <c r="BM30" s="46">
        <v>10</v>
      </c>
      <c r="BN30" s="47">
        <v>3.9402991447958193</v>
      </c>
      <c r="BO30" s="47">
        <v>9.3418180498453118</v>
      </c>
      <c r="BP30" s="47">
        <v>18.307038053808746</v>
      </c>
      <c r="BQ30" s="47">
        <f t="shared" si="434"/>
        <v>0.4217914675464125</v>
      </c>
      <c r="BR30" s="46">
        <f t="shared" si="435"/>
        <v>11</v>
      </c>
      <c r="BS30" s="47">
        <v>4.5748131079257845</v>
      </c>
      <c r="BT30" s="47">
        <v>10.340998247502135</v>
      </c>
      <c r="BU30" s="47">
        <v>19.675137572697327</v>
      </c>
      <c r="BV30" s="47">
        <f t="shared" si="436"/>
        <v>0.44239569511877919</v>
      </c>
      <c r="BW30" s="47">
        <f t="shared" si="437"/>
        <v>10.997984039373058</v>
      </c>
      <c r="BX30" s="47">
        <f t="shared" si="438"/>
        <v>4.5735339527588694</v>
      </c>
      <c r="BY30" s="47">
        <f t="shared" si="439"/>
        <v>10.338983939564439</v>
      </c>
      <c r="BZ30" s="48">
        <f t="shared" si="440"/>
        <v>19.672379537933509</v>
      </c>
      <c r="CB30" s="39">
        <f t="shared" si="441"/>
        <v>0.3</v>
      </c>
      <c r="CC30" s="40">
        <f t="shared" si="442"/>
        <v>19</v>
      </c>
      <c r="CD30" s="40">
        <f t="shared" si="443"/>
        <v>192</v>
      </c>
      <c r="CE30" s="120">
        <f t="shared" si="444"/>
        <v>0.55467024566612955</v>
      </c>
      <c r="CF30" s="42">
        <f t="shared" si="445"/>
        <v>2.9193170824533134E-2</v>
      </c>
      <c r="CG30" s="41">
        <f t="shared" si="446"/>
        <v>34.254586663796985</v>
      </c>
      <c r="CH30" s="43">
        <f t="shared" si="447"/>
        <v>0.25209775935643841</v>
      </c>
      <c r="CI30" s="43">
        <f t="shared" si="448"/>
        <v>19</v>
      </c>
      <c r="CJ30" s="43">
        <f t="shared" si="449"/>
        <v>9.5359898444744804</v>
      </c>
      <c r="CK30" s="43">
        <f t="shared" si="450"/>
        <v>69.820127120546488</v>
      </c>
      <c r="CL30" s="44">
        <f t="shared" si="451"/>
        <v>25.511510080983893</v>
      </c>
      <c r="CM30" s="45">
        <f t="shared" si="452"/>
        <v>1.5789473684210527E-2</v>
      </c>
      <c r="CN30" s="46">
        <v>1</v>
      </c>
      <c r="CO30" s="47">
        <v>3.9321400005324098E-3</v>
      </c>
      <c r="CP30" s="47">
        <v>0.4549364250484666</v>
      </c>
      <c r="CQ30" s="47">
        <v>3.841459149489757</v>
      </c>
      <c r="CR30" s="47">
        <f t="shared" si="453"/>
        <v>8.6432736180961992E-3</v>
      </c>
      <c r="CS30" s="46">
        <f t="shared" si="454"/>
        <v>2</v>
      </c>
      <c r="CT30" s="47">
        <v>0.10258658882167279</v>
      </c>
      <c r="CU30" s="47">
        <v>1.3862943760896287</v>
      </c>
      <c r="CV30" s="47">
        <v>5.9914645471914136</v>
      </c>
      <c r="CW30" s="47">
        <f t="shared" si="455"/>
        <v>7.4000580678284605E-2</v>
      </c>
      <c r="CX30" s="47">
        <f t="shared" si="456"/>
        <v>1.1093404913322591</v>
      </c>
      <c r="CY30" s="47">
        <f t="shared" si="457"/>
        <v>1.4719065906749108E-2</v>
      </c>
      <c r="CZ30" s="47">
        <f t="shared" si="458"/>
        <v>0.55677156102151337</v>
      </c>
      <c r="DA30" s="48">
        <f t="shared" si="459"/>
        <v>4.0765417960414654</v>
      </c>
    </row>
    <row r="31" spans="1:105" x14ac:dyDescent="0.3">
      <c r="A31" s="158">
        <f t="shared" si="30"/>
        <v>26</v>
      </c>
      <c r="B31" s="158">
        <f t="shared" si="31"/>
        <v>26</v>
      </c>
      <c r="C31" s="74" t="s">
        <v>1358</v>
      </c>
      <c r="D31" s="72" t="s">
        <v>1287</v>
      </c>
      <c r="E31" s="250" t="s">
        <v>809</v>
      </c>
      <c r="F31" s="158" t="s">
        <v>423</v>
      </c>
      <c r="G31" s="159" t="s">
        <v>808</v>
      </c>
      <c r="H31" s="157">
        <f t="shared" si="396"/>
        <v>10</v>
      </c>
      <c r="I31" s="157">
        <f t="shared" si="396"/>
        <v>2</v>
      </c>
      <c r="J31" s="157">
        <f t="shared" si="396"/>
        <v>0.1754</v>
      </c>
      <c r="K31" s="157">
        <f t="shared" si="396"/>
        <v>0.17519999999999999</v>
      </c>
      <c r="L31" s="157" t="str">
        <f t="shared" si="396"/>
        <v>All Modes</v>
      </c>
      <c r="M31" s="157">
        <f t="shared" si="396"/>
        <v>4</v>
      </c>
      <c r="N31" s="240">
        <f t="shared" si="396"/>
        <v>5.89</v>
      </c>
      <c r="O31" s="240">
        <f t="shared" si="396"/>
        <v>24.71</v>
      </c>
      <c r="P31" s="240">
        <f t="shared" si="396"/>
        <v>54.16</v>
      </c>
      <c r="Q31" s="240">
        <f t="shared" si="396"/>
        <v>15.38</v>
      </c>
      <c r="R31" s="240">
        <f t="shared" si="396"/>
        <v>22.83</v>
      </c>
      <c r="S31" s="242">
        <f t="shared" si="5"/>
        <v>0.3</v>
      </c>
      <c r="T31" s="242">
        <f t="shared" si="398"/>
        <v>1</v>
      </c>
      <c r="U31" s="242">
        <f t="shared" si="398"/>
        <v>1</v>
      </c>
      <c r="V31" s="163"/>
      <c r="W31" s="158" t="str">
        <f t="shared" ref="W31:W33" si="461">IF(F31="OREDA","Gamma","Exponential")</f>
        <v>Gamma</v>
      </c>
      <c r="X31" s="160">
        <f t="shared" ref="X31:X33" si="462">IF(W31="Gamma",BD31,1/R31*1000000)</f>
        <v>5.8754016129666411</v>
      </c>
      <c r="Y31" s="160" t="e">
        <f t="shared" ref="Y31:Y33" si="463">VLOOKUP(C31,Export_Library,3,0)</f>
        <v>#REF!</v>
      </c>
      <c r="Z31" s="160">
        <f t="shared" ref="Z31:Z33" si="464">IF(W31="Gamma",BF31,0)</f>
        <v>6887.9454094307684</v>
      </c>
      <c r="AA31" s="160" t="e">
        <f t="shared" ref="AA31:AA33" si="465">VLOOKUP(C31,Export_Library,4,0)</f>
        <v>#REF!</v>
      </c>
      <c r="AB31" s="160">
        <v>0</v>
      </c>
      <c r="AC31" s="160" t="e">
        <f t="shared" ref="AC31:AC33" si="466">VLOOKUP(C31,Export_Library,5,0)</f>
        <v>#REF!</v>
      </c>
      <c r="AD31" s="160">
        <f t="shared" ref="AD31:AD33" si="467">IF(W31="Gamma",BG31,-X31*LN(1-0.05))</f>
        <v>17439.411533540584</v>
      </c>
      <c r="AE31" s="160">
        <f t="shared" ref="AE31:AE33" si="468">IF(W31="Gamma",BI31,-X31*LN(1-0.5))</f>
        <v>38198.115039116703</v>
      </c>
      <c r="AF31" s="160">
        <f t="shared" ref="AF31:AF33" si="469">IF(W31="Gamma",BJ31,-X31*LN(1-0.95))</f>
        <v>71253.804164121771</v>
      </c>
      <c r="AG31" s="160">
        <f t="shared" ref="AG31:AG33" si="470">IF(W31="Gamma",BH31,X31)</f>
        <v>40469.445568595707</v>
      </c>
      <c r="AH31" s="160">
        <f t="shared" ref="AH31:AH33" si="471">IF(W31="Gamma",BK31,X31)</f>
        <v>16695.847742070997</v>
      </c>
      <c r="AI31" s="160">
        <f t="shared" ref="AI31:AI33" si="472">AH31^2</f>
        <v>278751331.82641721</v>
      </c>
      <c r="AJ31" s="158" t="str">
        <f t="shared" ref="AJ31:AJ33" si="473">IF(ISNUMBER(V31),"Exponential","Gamma")</f>
        <v>Gamma</v>
      </c>
      <c r="AK31" s="161">
        <f t="shared" ref="AK31:AK33" si="474">IF(AJ31="Gamma",CE31,V31)</f>
        <v>2.9319992169389946</v>
      </c>
      <c r="AL31" s="161" t="e">
        <f t="shared" ref="AL31:AL33" si="475">VLOOKUP(C31,Export_Library,7,0)</f>
        <v>#REF!</v>
      </c>
      <c r="AM31" s="161">
        <f t="shared" ref="AM31:AM33" si="476">IF(AJ31="Gamma",CG31,0)</f>
        <v>0.34106421114395774</v>
      </c>
      <c r="AN31" s="161" t="e">
        <f t="shared" ref="AN31:AN33" si="477">VLOOKUP(C31,Export_Library,8,0)</f>
        <v>#REF!</v>
      </c>
      <c r="AO31" s="162">
        <v>0</v>
      </c>
      <c r="AP31" s="162" t="e">
        <f t="shared" ref="AP31:AP33" si="478">VLOOKUP(C31,Export_Library,9,0)</f>
        <v>#REF!</v>
      </c>
      <c r="AQ31" s="163">
        <f t="shared" ref="AQ31:AQ33" si="479">IF(AJ31="Gamma",CH31,-AK31*LN(1-0.05))</f>
        <v>0.26752306281145277</v>
      </c>
      <c r="AR31" s="163">
        <f t="shared" ref="AR31:AR33" si="480">IF(AJ31="Gamma",CJ31,-AK31*LN(1-0.5))</f>
        <v>0.88891112383421989</v>
      </c>
      <c r="AS31" s="163">
        <f t="shared" ref="AS31:AS33" si="481">IF(AJ31="Gamma",CK31,-AK31*LN(1-0.95))</f>
        <v>2.1119918142790923</v>
      </c>
      <c r="AT31" s="163">
        <f t="shared" ref="AT31:AT33" si="482">IF(AJ31="Gamma",CI31,AK31)</f>
        <v>1</v>
      </c>
      <c r="AU31" s="163">
        <f t="shared" ref="AU31:AU33" si="483">IF(AJ31="Gamma",CL31,AK31)</f>
        <v>0.58400703004669197</v>
      </c>
      <c r="AV31" s="163">
        <f t="shared" ref="AV31:AV33" si="484">AU31^2</f>
        <v>0.3410642111439578</v>
      </c>
      <c r="AW31" s="252"/>
      <c r="BA31" s="67">
        <f t="shared" ref="BA31:BA33" si="485">1000000/P31</f>
        <v>18463.810930576074</v>
      </c>
      <c r="BB31" s="68">
        <f t="shared" ref="BB31:BB33" si="486">1000000/O31</f>
        <v>40469.445568595707</v>
      </c>
      <c r="BC31" s="68">
        <f t="shared" ref="BC31:BC33" si="487">1000000/N31</f>
        <v>169779.28692699492</v>
      </c>
      <c r="BD31" s="42">
        <f t="shared" ref="BD31:BD33" si="488">BW31/2</f>
        <v>5.8754016129666411</v>
      </c>
      <c r="BE31" s="42">
        <f t="shared" ref="BE31:BE33" si="489">BD31/BB31</f>
        <v>1.451811738564057E-4</v>
      </c>
      <c r="BF31" s="42">
        <f t="shared" ref="BF31:BF33" si="490">1/BE31</f>
        <v>6887.9454094307684</v>
      </c>
      <c r="BG31" s="69">
        <f t="shared" ref="BG31:BG33" si="491">1/2/BE31*BX31</f>
        <v>17439.411533540584</v>
      </c>
      <c r="BH31" s="69">
        <f t="shared" ref="BH31:BH33" si="492">BD31/BE31</f>
        <v>40469.445568595707</v>
      </c>
      <c r="BI31" s="69">
        <f t="shared" ref="BI31:BI33" si="493">1/2/BE31*BY31</f>
        <v>38198.115039116703</v>
      </c>
      <c r="BJ31" s="69">
        <f t="shared" ref="BJ31:BJ33" si="494">1/2/BE31*BZ31</f>
        <v>71253.804164121771</v>
      </c>
      <c r="BK31" s="70">
        <f t="shared" ref="BK31:BK33" si="495">SQRT(BH31/BE31)</f>
        <v>16695.847742070997</v>
      </c>
      <c r="BL31" s="71">
        <f t="shared" ref="BL31:BL33" si="496">BA31/BB31</f>
        <v>0.45624076809453479</v>
      </c>
      <c r="BM31" s="46">
        <v>11</v>
      </c>
      <c r="BN31" s="47">
        <v>4.5748131079257845</v>
      </c>
      <c r="BO31" s="47">
        <v>10.340998247502135</v>
      </c>
      <c r="BP31" s="47">
        <v>19.675137572697327</v>
      </c>
      <c r="BQ31" s="47">
        <f t="shared" ref="BQ31:BQ33" si="497">BN31/BO31</f>
        <v>0.44239569511877919</v>
      </c>
      <c r="BR31" s="46">
        <f t="shared" ref="BR31:BR33" si="498">BM31+1</f>
        <v>12</v>
      </c>
      <c r="BS31" s="47">
        <v>5.2260294996443619</v>
      </c>
      <c r="BT31" s="47">
        <v>11.340322820897764</v>
      </c>
      <c r="BU31" s="47">
        <v>21.026069818100467</v>
      </c>
      <c r="BV31" s="47">
        <f t="shared" ref="BV31:BV33" si="499">BS31/BT31</f>
        <v>0.46083604339851059</v>
      </c>
      <c r="BW31" s="47">
        <f t="shared" ref="BW31:BW33" si="500">(BL31-BQ31)/(BV31-BQ31)*(BR31-BM31)+BM31</f>
        <v>11.750803225933282</v>
      </c>
      <c r="BX31" s="47">
        <f t="shared" ref="BX31:BX33" si="501">(BL31-BQ31)/(BV31-BQ31)*(BS31-BN31)+BN31</f>
        <v>5.0637484756087252</v>
      </c>
      <c r="BY31" s="47">
        <f t="shared" ref="BY31:BY33" si="502">(BL31-BQ31)/(BV31-BQ31)*(BT31-BO31)+BO31</f>
        <v>11.091294360961975</v>
      </c>
      <c r="BZ31" s="48">
        <f t="shared" ref="BZ31:BZ33" si="503">(BL31-BQ31)/(BV31-BQ31)*(BU31-BP31)+BP31</f>
        <v>20.689421860563296</v>
      </c>
      <c r="CB31" s="39">
        <f t="shared" ref="CB31:CB33" si="504">S31</f>
        <v>0.3</v>
      </c>
      <c r="CC31" s="40">
        <f t="shared" ref="CC31:CC33" si="505">T31</f>
        <v>1</v>
      </c>
      <c r="CD31" s="40">
        <f t="shared" ref="CD31:CD33" si="506">U31</f>
        <v>1</v>
      </c>
      <c r="CE31" s="120">
        <f t="shared" ref="CE31:CE33" si="507">CX31/2</f>
        <v>2.9319992169389946</v>
      </c>
      <c r="CF31" s="42">
        <f t="shared" ref="CF31:CF33" si="508">CE31/CC31</f>
        <v>2.9319992169389946</v>
      </c>
      <c r="CG31" s="41">
        <f t="shared" ref="CG31:CG33" si="509">1/CF31</f>
        <v>0.34106421114395774</v>
      </c>
      <c r="CH31" s="43">
        <f t="shared" ref="CH31:CH33" si="510">1/2/CF31*CY31</f>
        <v>0.26752306281145277</v>
      </c>
      <c r="CI31" s="43">
        <f t="shared" ref="CI31:CI33" si="511">CE31/CF31</f>
        <v>1</v>
      </c>
      <c r="CJ31" s="43">
        <f t="shared" ref="CJ31:CJ33" si="512">1/2/CF31*CZ31</f>
        <v>0.88891112383421989</v>
      </c>
      <c r="CK31" s="43">
        <f t="shared" ref="CK31:CK33" si="513">1/2/CF31*DA31</f>
        <v>2.1119918142790923</v>
      </c>
      <c r="CL31" s="44">
        <f t="shared" ref="CL31:CL33" si="514">SQRT(CI31/CF31)</f>
        <v>0.58400703004669197</v>
      </c>
      <c r="CM31" s="45">
        <f t="shared" ref="CM31:CM33" si="515">CB31/CC31</f>
        <v>0.3</v>
      </c>
      <c r="CN31" s="46">
        <v>5</v>
      </c>
      <c r="CO31" s="47">
        <v>1.1454762275641139</v>
      </c>
      <c r="CP31" s="47">
        <v>4.3514602221082166</v>
      </c>
      <c r="CQ31" s="47">
        <v>11.070497754622684</v>
      </c>
      <c r="CR31" s="47">
        <f t="shared" ref="CR31:CR33" si="516">CO31/CP31</f>
        <v>0.26323950331531426</v>
      </c>
      <c r="CS31" s="46">
        <f t="shared" ref="CS31:CS33" si="517">CN31+1</f>
        <v>6</v>
      </c>
      <c r="CT31" s="47">
        <v>1.6353828954369192</v>
      </c>
      <c r="CU31" s="47">
        <v>5.3481208434097312</v>
      </c>
      <c r="CV31" s="47">
        <v>12.591587244072656</v>
      </c>
      <c r="CW31" s="47">
        <f t="shared" ref="CW31:CW33" si="518">CT31/CU31</f>
        <v>0.30578645160049706</v>
      </c>
      <c r="CX31" s="47">
        <f t="shared" ref="CX31:CX33" si="519">(CM31-CR31)/(CW31-CR31)*(CS31-CN31)+CN31</f>
        <v>5.8639984338779891</v>
      </c>
      <c r="CY31" s="47">
        <f t="shared" ref="CY31:CY33" si="520">(CM31-CR31)/(CW31-CR31)*(CT31-CO31)+CO31</f>
        <v>1.5687548213526019</v>
      </c>
      <c r="CZ31" s="47">
        <f t="shared" ref="CZ31:CZ33" si="521">(CM31-CR31)/(CW31-CR31)*(CU31-CP31)+CP31</f>
        <v>5.2125734380205886</v>
      </c>
      <c r="DA31" s="48">
        <f t="shared" ref="DA31:DA33" si="522">(CM31-CR31)/(CW31-CR31)*(CV31-CQ31)+CQ31</f>
        <v>12.384716691295729</v>
      </c>
    </row>
    <row r="32" spans="1:105" s="143" customFormat="1" x14ac:dyDescent="0.3">
      <c r="A32" s="158">
        <f t="shared" si="30"/>
        <v>27</v>
      </c>
      <c r="B32" s="158">
        <f t="shared" si="31"/>
        <v>27</v>
      </c>
      <c r="C32" s="74" t="s">
        <v>1346</v>
      </c>
      <c r="D32" s="72" t="s">
        <v>1371</v>
      </c>
      <c r="E32" s="250" t="s">
        <v>1374</v>
      </c>
      <c r="F32" s="158" t="s">
        <v>1365</v>
      </c>
      <c r="G32" s="159" t="s">
        <v>1377</v>
      </c>
      <c r="H32" s="157" t="e">
        <f t="shared" si="396"/>
        <v>#N/A</v>
      </c>
      <c r="I32" s="157" t="e">
        <f t="shared" si="396"/>
        <v>#N/A</v>
      </c>
      <c r="J32" s="223">
        <v>1</v>
      </c>
      <c r="K32" s="157" t="e">
        <f t="shared" si="396"/>
        <v>#N/A</v>
      </c>
      <c r="L32" s="157" t="e">
        <f t="shared" si="396"/>
        <v>#N/A</v>
      </c>
      <c r="M32" s="222">
        <f>0.00349315068493151</f>
        <v>3.4931506849315099E-3</v>
      </c>
      <c r="N32" s="240" t="e">
        <f t="shared" si="396"/>
        <v>#N/A</v>
      </c>
      <c r="O32" s="240" t="e">
        <f t="shared" si="396"/>
        <v>#N/A</v>
      </c>
      <c r="P32" s="240" t="e">
        <f t="shared" si="396"/>
        <v>#N/A</v>
      </c>
      <c r="Q32" s="240" t="e">
        <f t="shared" si="396"/>
        <v>#N/A</v>
      </c>
      <c r="R32" s="285">
        <f>M32/J32</f>
        <v>3.4931506849315099E-3</v>
      </c>
      <c r="S32" s="242" t="e">
        <f t="shared" si="5"/>
        <v>#N/A</v>
      </c>
      <c r="T32" s="242" t="e">
        <f t="shared" si="398"/>
        <v>#N/A</v>
      </c>
      <c r="U32" s="242" t="e">
        <f t="shared" si="398"/>
        <v>#N/A</v>
      </c>
      <c r="V32" s="226">
        <v>36</v>
      </c>
      <c r="W32" s="286" t="str">
        <f t="shared" si="461"/>
        <v>Exponential</v>
      </c>
      <c r="X32" s="160">
        <f t="shared" si="462"/>
        <v>286274509.80392134</v>
      </c>
      <c r="Y32" s="160" t="e">
        <f t="shared" si="463"/>
        <v>#REF!</v>
      </c>
      <c r="Z32" s="160">
        <f t="shared" si="464"/>
        <v>0</v>
      </c>
      <c r="AA32" s="160" t="e">
        <f t="shared" si="465"/>
        <v>#REF!</v>
      </c>
      <c r="AB32" s="160">
        <v>0</v>
      </c>
      <c r="AC32" s="160" t="e">
        <f t="shared" si="466"/>
        <v>#REF!</v>
      </c>
      <c r="AD32" s="160">
        <f t="shared" si="467"/>
        <v>14683962.707024271</v>
      </c>
      <c r="AE32" s="160">
        <f t="shared" si="468"/>
        <v>198430369.33676851</v>
      </c>
      <c r="AF32" s="160">
        <f t="shared" si="469"/>
        <v>857601788.11545527</v>
      </c>
      <c r="AG32" s="160">
        <f t="shared" si="470"/>
        <v>286274509.80392134</v>
      </c>
      <c r="AH32" s="160">
        <f t="shared" si="471"/>
        <v>286274509.80392134</v>
      </c>
      <c r="AI32" s="160">
        <f t="shared" si="472"/>
        <v>8.1953094963475456E+16</v>
      </c>
      <c r="AJ32" s="158" t="str">
        <f t="shared" si="473"/>
        <v>Exponential</v>
      </c>
      <c r="AK32" s="161">
        <f t="shared" si="474"/>
        <v>36</v>
      </c>
      <c r="AL32" s="161" t="e">
        <f t="shared" si="475"/>
        <v>#REF!</v>
      </c>
      <c r="AM32" s="161">
        <f t="shared" si="476"/>
        <v>0</v>
      </c>
      <c r="AN32" s="161" t="e">
        <f t="shared" si="477"/>
        <v>#REF!</v>
      </c>
      <c r="AO32" s="162">
        <v>0</v>
      </c>
      <c r="AP32" s="162" t="e">
        <f t="shared" si="478"/>
        <v>#REF!</v>
      </c>
      <c r="AQ32" s="163">
        <f t="shared" si="479"/>
        <v>1.8465585979518209</v>
      </c>
      <c r="AR32" s="163">
        <f t="shared" si="480"/>
        <v>24.953298500158031</v>
      </c>
      <c r="AS32" s="163">
        <f t="shared" si="481"/>
        <v>107.84636184794364</v>
      </c>
      <c r="AT32" s="163">
        <f t="shared" si="482"/>
        <v>36</v>
      </c>
      <c r="AU32" s="163">
        <f t="shared" si="483"/>
        <v>36</v>
      </c>
      <c r="AV32" s="163">
        <f t="shared" si="484"/>
        <v>1296</v>
      </c>
      <c r="AW32" s="252"/>
      <c r="BA32" s="67" t="e">
        <f t="shared" si="485"/>
        <v>#N/A</v>
      </c>
      <c r="BB32" s="68" t="e">
        <f t="shared" si="486"/>
        <v>#N/A</v>
      </c>
      <c r="BC32" s="68" t="e">
        <f t="shared" si="487"/>
        <v>#N/A</v>
      </c>
      <c r="BD32" s="42" t="e">
        <f t="shared" si="488"/>
        <v>#N/A</v>
      </c>
      <c r="BE32" s="42" t="e">
        <f t="shared" si="489"/>
        <v>#N/A</v>
      </c>
      <c r="BF32" s="42" t="e">
        <f t="shared" si="490"/>
        <v>#N/A</v>
      </c>
      <c r="BG32" s="69" t="e">
        <f t="shared" si="491"/>
        <v>#N/A</v>
      </c>
      <c r="BH32" s="69" t="e">
        <f t="shared" si="492"/>
        <v>#N/A</v>
      </c>
      <c r="BI32" s="69" t="e">
        <f t="shared" si="493"/>
        <v>#N/A</v>
      </c>
      <c r="BJ32" s="69" t="e">
        <f t="shared" si="494"/>
        <v>#N/A</v>
      </c>
      <c r="BK32" s="70" t="e">
        <f t="shared" si="495"/>
        <v>#N/A</v>
      </c>
      <c r="BL32" s="71" t="e">
        <f t="shared" si="496"/>
        <v>#N/A</v>
      </c>
      <c r="BM32" s="46" t="e">
        <v>#N/A</v>
      </c>
      <c r="BN32" s="47" t="e">
        <v>#N/A</v>
      </c>
      <c r="BO32" s="47" t="e">
        <v>#N/A</v>
      </c>
      <c r="BP32" s="47" t="e">
        <v>#N/A</v>
      </c>
      <c r="BQ32" s="47" t="e">
        <f t="shared" si="497"/>
        <v>#N/A</v>
      </c>
      <c r="BR32" s="46" t="e">
        <f t="shared" si="498"/>
        <v>#N/A</v>
      </c>
      <c r="BS32" s="47" t="e">
        <v>#N/A</v>
      </c>
      <c r="BT32" s="47" t="e">
        <v>#N/A</v>
      </c>
      <c r="BU32" s="47" t="e">
        <v>#N/A</v>
      </c>
      <c r="BV32" s="47" t="e">
        <f t="shared" si="499"/>
        <v>#N/A</v>
      </c>
      <c r="BW32" s="47" t="e">
        <f t="shared" si="500"/>
        <v>#N/A</v>
      </c>
      <c r="BX32" s="47" t="e">
        <f t="shared" si="501"/>
        <v>#N/A</v>
      </c>
      <c r="BY32" s="47" t="e">
        <f t="shared" si="502"/>
        <v>#N/A</v>
      </c>
      <c r="BZ32" s="48" t="e">
        <f t="shared" si="503"/>
        <v>#N/A</v>
      </c>
      <c r="CB32" s="39" t="e">
        <f t="shared" si="504"/>
        <v>#N/A</v>
      </c>
      <c r="CC32" s="40" t="e">
        <f t="shared" si="505"/>
        <v>#N/A</v>
      </c>
      <c r="CD32" s="40" t="e">
        <f t="shared" si="506"/>
        <v>#N/A</v>
      </c>
      <c r="CE32" s="120" t="e">
        <f t="shared" si="507"/>
        <v>#N/A</v>
      </c>
      <c r="CF32" s="42" t="e">
        <f t="shared" si="508"/>
        <v>#N/A</v>
      </c>
      <c r="CG32" s="41" t="e">
        <f t="shared" si="509"/>
        <v>#N/A</v>
      </c>
      <c r="CH32" s="43" t="e">
        <f t="shared" si="510"/>
        <v>#N/A</v>
      </c>
      <c r="CI32" s="43" t="e">
        <f t="shared" si="511"/>
        <v>#N/A</v>
      </c>
      <c r="CJ32" s="43" t="e">
        <f t="shared" si="512"/>
        <v>#N/A</v>
      </c>
      <c r="CK32" s="43" t="e">
        <f t="shared" si="513"/>
        <v>#N/A</v>
      </c>
      <c r="CL32" s="44" t="e">
        <f t="shared" si="514"/>
        <v>#N/A</v>
      </c>
      <c r="CM32" s="45" t="e">
        <f t="shared" si="515"/>
        <v>#N/A</v>
      </c>
      <c r="CN32" s="46" t="e">
        <v>#N/A</v>
      </c>
      <c r="CO32" s="47" t="e">
        <v>#N/A</v>
      </c>
      <c r="CP32" s="47" t="e">
        <v>#N/A</v>
      </c>
      <c r="CQ32" s="47" t="e">
        <v>#N/A</v>
      </c>
      <c r="CR32" s="47" t="e">
        <f t="shared" si="516"/>
        <v>#N/A</v>
      </c>
      <c r="CS32" s="46" t="e">
        <f t="shared" si="517"/>
        <v>#N/A</v>
      </c>
      <c r="CT32" s="47" t="e">
        <v>#N/A</v>
      </c>
      <c r="CU32" s="47" t="e">
        <v>#N/A</v>
      </c>
      <c r="CV32" s="47" t="e">
        <v>#N/A</v>
      </c>
      <c r="CW32" s="47" t="e">
        <f t="shared" si="518"/>
        <v>#N/A</v>
      </c>
      <c r="CX32" s="47" t="e">
        <f t="shared" si="519"/>
        <v>#N/A</v>
      </c>
      <c r="CY32" s="47" t="e">
        <f t="shared" si="520"/>
        <v>#N/A</v>
      </c>
      <c r="CZ32" s="47" t="e">
        <f t="shared" si="521"/>
        <v>#N/A</v>
      </c>
      <c r="DA32" s="48" t="e">
        <f t="shared" si="522"/>
        <v>#N/A</v>
      </c>
    </row>
    <row r="33" spans="1:105" x14ac:dyDescent="0.3">
      <c r="A33" s="158">
        <f t="shared" si="30"/>
        <v>28</v>
      </c>
      <c r="B33" s="158">
        <f t="shared" si="31"/>
        <v>28</v>
      </c>
      <c r="C33" s="74" t="s">
        <v>1360</v>
      </c>
      <c r="D33" s="72" t="s">
        <v>1372</v>
      </c>
      <c r="E33" s="250" t="s">
        <v>1374</v>
      </c>
      <c r="F33" s="158" t="s">
        <v>1365</v>
      </c>
      <c r="G33" s="159" t="s">
        <v>1377</v>
      </c>
      <c r="H33" s="157" t="e">
        <f t="shared" si="396"/>
        <v>#N/A</v>
      </c>
      <c r="I33" s="157" t="e">
        <f t="shared" si="396"/>
        <v>#N/A</v>
      </c>
      <c r="J33" s="223">
        <v>1</v>
      </c>
      <c r="K33" s="157" t="e">
        <f t="shared" si="396"/>
        <v>#N/A</v>
      </c>
      <c r="L33" s="157" t="e">
        <f t="shared" si="396"/>
        <v>#N/A</v>
      </c>
      <c r="M33" s="222">
        <f>0.00349315068493151</f>
        <v>3.4931506849315099E-3</v>
      </c>
      <c r="N33" s="240" t="e">
        <f t="shared" si="396"/>
        <v>#N/A</v>
      </c>
      <c r="O33" s="240" t="e">
        <f t="shared" si="396"/>
        <v>#N/A</v>
      </c>
      <c r="P33" s="240" t="e">
        <f t="shared" si="396"/>
        <v>#N/A</v>
      </c>
      <c r="Q33" s="240" t="e">
        <f t="shared" si="396"/>
        <v>#N/A</v>
      </c>
      <c r="R33" s="285">
        <f>M33/J33</f>
        <v>3.4931506849315099E-3</v>
      </c>
      <c r="S33" s="242" t="e">
        <f t="shared" si="5"/>
        <v>#N/A</v>
      </c>
      <c r="T33" s="242" t="e">
        <f t="shared" si="398"/>
        <v>#N/A</v>
      </c>
      <c r="U33" s="242" t="e">
        <f t="shared" si="398"/>
        <v>#N/A</v>
      </c>
      <c r="V33" s="226">
        <v>36</v>
      </c>
      <c r="W33" s="286" t="str">
        <f t="shared" si="461"/>
        <v>Exponential</v>
      </c>
      <c r="X33" s="160">
        <f t="shared" si="462"/>
        <v>286274509.80392134</v>
      </c>
      <c r="Y33" s="160" t="e">
        <f t="shared" si="463"/>
        <v>#REF!</v>
      </c>
      <c r="Z33" s="160">
        <f t="shared" si="464"/>
        <v>0</v>
      </c>
      <c r="AA33" s="160" t="e">
        <f t="shared" si="465"/>
        <v>#REF!</v>
      </c>
      <c r="AB33" s="160">
        <v>0</v>
      </c>
      <c r="AC33" s="160" t="e">
        <f t="shared" si="466"/>
        <v>#REF!</v>
      </c>
      <c r="AD33" s="160">
        <f t="shared" si="467"/>
        <v>14683962.707024271</v>
      </c>
      <c r="AE33" s="160">
        <f t="shared" si="468"/>
        <v>198430369.33676851</v>
      </c>
      <c r="AF33" s="160">
        <f t="shared" si="469"/>
        <v>857601788.11545527</v>
      </c>
      <c r="AG33" s="160">
        <f t="shared" si="470"/>
        <v>286274509.80392134</v>
      </c>
      <c r="AH33" s="160">
        <f t="shared" si="471"/>
        <v>286274509.80392134</v>
      </c>
      <c r="AI33" s="160">
        <f t="shared" si="472"/>
        <v>8.1953094963475456E+16</v>
      </c>
      <c r="AJ33" s="158" t="str">
        <f t="shared" si="473"/>
        <v>Exponential</v>
      </c>
      <c r="AK33" s="161">
        <f t="shared" si="474"/>
        <v>36</v>
      </c>
      <c r="AL33" s="161" t="e">
        <f t="shared" si="475"/>
        <v>#REF!</v>
      </c>
      <c r="AM33" s="161">
        <f t="shared" si="476"/>
        <v>0</v>
      </c>
      <c r="AN33" s="161" t="e">
        <f t="shared" si="477"/>
        <v>#REF!</v>
      </c>
      <c r="AO33" s="162">
        <v>0</v>
      </c>
      <c r="AP33" s="162" t="e">
        <f t="shared" si="478"/>
        <v>#REF!</v>
      </c>
      <c r="AQ33" s="163">
        <f t="shared" si="479"/>
        <v>1.8465585979518209</v>
      </c>
      <c r="AR33" s="163">
        <f t="shared" si="480"/>
        <v>24.953298500158031</v>
      </c>
      <c r="AS33" s="163">
        <f t="shared" si="481"/>
        <v>107.84636184794364</v>
      </c>
      <c r="AT33" s="163">
        <f t="shared" si="482"/>
        <v>36</v>
      </c>
      <c r="AU33" s="163">
        <f t="shared" si="483"/>
        <v>36</v>
      </c>
      <c r="AV33" s="163">
        <f t="shared" si="484"/>
        <v>1296</v>
      </c>
      <c r="AW33" s="252"/>
      <c r="BA33" s="67" t="e">
        <f t="shared" si="485"/>
        <v>#N/A</v>
      </c>
      <c r="BB33" s="68" t="e">
        <f t="shared" si="486"/>
        <v>#N/A</v>
      </c>
      <c r="BC33" s="68" t="e">
        <f t="shared" si="487"/>
        <v>#N/A</v>
      </c>
      <c r="BD33" s="42" t="e">
        <f t="shared" si="488"/>
        <v>#N/A</v>
      </c>
      <c r="BE33" s="42" t="e">
        <f t="shared" si="489"/>
        <v>#N/A</v>
      </c>
      <c r="BF33" s="42" t="e">
        <f t="shared" si="490"/>
        <v>#N/A</v>
      </c>
      <c r="BG33" s="69" t="e">
        <f t="shared" si="491"/>
        <v>#N/A</v>
      </c>
      <c r="BH33" s="69" t="e">
        <f t="shared" si="492"/>
        <v>#N/A</v>
      </c>
      <c r="BI33" s="69" t="e">
        <f t="shared" si="493"/>
        <v>#N/A</v>
      </c>
      <c r="BJ33" s="69" t="e">
        <f t="shared" si="494"/>
        <v>#N/A</v>
      </c>
      <c r="BK33" s="70" t="e">
        <f t="shared" si="495"/>
        <v>#N/A</v>
      </c>
      <c r="BL33" s="71" t="e">
        <f t="shared" si="496"/>
        <v>#N/A</v>
      </c>
      <c r="BM33" s="46" t="e">
        <v>#N/A</v>
      </c>
      <c r="BN33" s="47" t="e">
        <v>#N/A</v>
      </c>
      <c r="BO33" s="47" t="e">
        <v>#N/A</v>
      </c>
      <c r="BP33" s="47" t="e">
        <v>#N/A</v>
      </c>
      <c r="BQ33" s="47" t="e">
        <f t="shared" si="497"/>
        <v>#N/A</v>
      </c>
      <c r="BR33" s="46" t="e">
        <f t="shared" si="498"/>
        <v>#N/A</v>
      </c>
      <c r="BS33" s="47" t="e">
        <v>#N/A</v>
      </c>
      <c r="BT33" s="47" t="e">
        <v>#N/A</v>
      </c>
      <c r="BU33" s="47" t="e">
        <v>#N/A</v>
      </c>
      <c r="BV33" s="47" t="e">
        <f t="shared" si="499"/>
        <v>#N/A</v>
      </c>
      <c r="BW33" s="47" t="e">
        <f t="shared" si="500"/>
        <v>#N/A</v>
      </c>
      <c r="BX33" s="47" t="e">
        <f t="shared" si="501"/>
        <v>#N/A</v>
      </c>
      <c r="BY33" s="47" t="e">
        <f t="shared" si="502"/>
        <v>#N/A</v>
      </c>
      <c r="BZ33" s="48" t="e">
        <f t="shared" si="503"/>
        <v>#N/A</v>
      </c>
      <c r="CB33" s="39" t="e">
        <f t="shared" si="504"/>
        <v>#N/A</v>
      </c>
      <c r="CC33" s="40" t="e">
        <f t="shared" si="505"/>
        <v>#N/A</v>
      </c>
      <c r="CD33" s="40" t="e">
        <f t="shared" si="506"/>
        <v>#N/A</v>
      </c>
      <c r="CE33" s="120" t="e">
        <f t="shared" si="507"/>
        <v>#N/A</v>
      </c>
      <c r="CF33" s="42" t="e">
        <f t="shared" si="508"/>
        <v>#N/A</v>
      </c>
      <c r="CG33" s="41" t="e">
        <f t="shared" si="509"/>
        <v>#N/A</v>
      </c>
      <c r="CH33" s="43" t="e">
        <f t="shared" si="510"/>
        <v>#N/A</v>
      </c>
      <c r="CI33" s="43" t="e">
        <f t="shared" si="511"/>
        <v>#N/A</v>
      </c>
      <c r="CJ33" s="43" t="e">
        <f t="shared" si="512"/>
        <v>#N/A</v>
      </c>
      <c r="CK33" s="43" t="e">
        <f t="shared" si="513"/>
        <v>#N/A</v>
      </c>
      <c r="CL33" s="44" t="e">
        <f t="shared" si="514"/>
        <v>#N/A</v>
      </c>
      <c r="CM33" s="45" t="e">
        <f t="shared" si="515"/>
        <v>#N/A</v>
      </c>
      <c r="CN33" s="46" t="e">
        <v>#N/A</v>
      </c>
      <c r="CO33" s="47" t="e">
        <v>#N/A</v>
      </c>
      <c r="CP33" s="47" t="e">
        <v>#N/A</v>
      </c>
      <c r="CQ33" s="47" t="e">
        <v>#N/A</v>
      </c>
      <c r="CR33" s="47" t="e">
        <f t="shared" si="516"/>
        <v>#N/A</v>
      </c>
      <c r="CS33" s="46" t="e">
        <f t="shared" si="517"/>
        <v>#N/A</v>
      </c>
      <c r="CT33" s="47" t="e">
        <v>#N/A</v>
      </c>
      <c r="CU33" s="47" t="e">
        <v>#N/A</v>
      </c>
      <c r="CV33" s="47" t="e">
        <v>#N/A</v>
      </c>
      <c r="CW33" s="47" t="e">
        <f t="shared" si="518"/>
        <v>#N/A</v>
      </c>
      <c r="CX33" s="47" t="e">
        <f t="shared" si="519"/>
        <v>#N/A</v>
      </c>
      <c r="CY33" s="47" t="e">
        <f t="shared" si="520"/>
        <v>#N/A</v>
      </c>
      <c r="CZ33" s="47" t="e">
        <f t="shared" si="521"/>
        <v>#N/A</v>
      </c>
      <c r="DA33" s="48" t="e">
        <f t="shared" si="522"/>
        <v>#N/A</v>
      </c>
    </row>
    <row r="34" spans="1:105" x14ac:dyDescent="0.3">
      <c r="A34" s="158">
        <f t="shared" si="30"/>
        <v>29</v>
      </c>
      <c r="B34" s="158">
        <f t="shared" si="31"/>
        <v>29</v>
      </c>
      <c r="C34" s="74" t="s">
        <v>1362</v>
      </c>
      <c r="D34" s="72" t="s">
        <v>1363</v>
      </c>
      <c r="E34" s="196" t="s">
        <v>661</v>
      </c>
      <c r="F34" s="158" t="s">
        <v>423</v>
      </c>
      <c r="G34" s="159" t="s">
        <v>660</v>
      </c>
      <c r="H34" s="157">
        <f t="shared" si="396"/>
        <v>8</v>
      </c>
      <c r="I34" s="157">
        <f t="shared" si="396"/>
        <v>1</v>
      </c>
      <c r="J34" s="157">
        <f t="shared" si="396"/>
        <v>0.57830000000000004</v>
      </c>
      <c r="K34" s="157">
        <f t="shared" si="396"/>
        <v>0.29199999999999998</v>
      </c>
      <c r="L34" s="157" t="str">
        <f t="shared" si="396"/>
        <v>All Modes</v>
      </c>
      <c r="M34" s="157">
        <f t="shared" si="396"/>
        <v>99</v>
      </c>
      <c r="N34" s="240">
        <f t="shared" si="396"/>
        <v>284.97000000000003</v>
      </c>
      <c r="O34" s="240">
        <f t="shared" si="396"/>
        <v>339</v>
      </c>
      <c r="P34" s="240">
        <f t="shared" si="396"/>
        <v>400.63</v>
      </c>
      <c r="Q34" s="240">
        <f t="shared" si="396"/>
        <v>34.07</v>
      </c>
      <c r="R34" s="240">
        <f t="shared" si="396"/>
        <v>339</v>
      </c>
      <c r="S34" s="242">
        <f t="shared" si="5"/>
        <v>0.3</v>
      </c>
      <c r="T34" s="242">
        <f t="shared" si="398"/>
        <v>4</v>
      </c>
      <c r="U34" s="242">
        <f t="shared" si="398"/>
        <v>17</v>
      </c>
      <c r="V34" s="163"/>
      <c r="W34" s="158" t="str">
        <f t="shared" ref="W34:W35" si="523">IF(F34="OREDA","Gamma","Exponential")</f>
        <v>Gamma</v>
      </c>
      <c r="X34" s="160" t="e">
        <f t="shared" ref="X34:X35" si="524">IF(W34="Gamma",BD34,1/R34*1000000)</f>
        <v>#N/A</v>
      </c>
      <c r="Y34" s="160" t="e">
        <f t="shared" ref="Y34:Y35" si="525">VLOOKUP(C34,Export_Library,3,0)</f>
        <v>#REF!</v>
      </c>
      <c r="Z34" s="160" t="e">
        <f t="shared" ref="Z34:Z35" si="526">IF(W34="Gamma",BF34,0)</f>
        <v>#N/A</v>
      </c>
      <c r="AA34" s="160" t="e">
        <f t="shared" ref="AA34:AA35" si="527">VLOOKUP(C34,Export_Library,4,0)</f>
        <v>#REF!</v>
      </c>
      <c r="AB34" s="160">
        <v>0</v>
      </c>
      <c r="AC34" s="160" t="e">
        <f t="shared" ref="AC34:AC35" si="528">VLOOKUP(C34,Export_Library,5,0)</f>
        <v>#REF!</v>
      </c>
      <c r="AD34" s="160" t="e">
        <f t="shared" ref="AD34:AD35" si="529">IF(W34="Gamma",BG34,-X34*LN(1-0.05))</f>
        <v>#N/A</v>
      </c>
      <c r="AE34" s="160" t="e">
        <f t="shared" ref="AE34:AE35" si="530">IF(W34="Gamma",BI34,-X34*LN(1-0.5))</f>
        <v>#N/A</v>
      </c>
      <c r="AF34" s="160" t="e">
        <f t="shared" ref="AF34:AF35" si="531">IF(W34="Gamma",BJ34,-X34*LN(1-0.95))</f>
        <v>#N/A</v>
      </c>
      <c r="AG34" s="160" t="e">
        <f t="shared" ref="AG34:AG35" si="532">IF(W34="Gamma",BH34,X34)</f>
        <v>#N/A</v>
      </c>
      <c r="AH34" s="160" t="e">
        <f t="shared" ref="AH34:AH35" si="533">IF(W34="Gamma",BK34,X34)</f>
        <v>#N/A</v>
      </c>
      <c r="AI34" s="160" t="e">
        <f t="shared" ref="AI34:AI35" si="534">AH34^2</f>
        <v>#N/A</v>
      </c>
      <c r="AJ34" s="158" t="str">
        <f t="shared" ref="AJ34:AJ35" si="535">IF(ISNUMBER(V34),"Exponential","Gamma")</f>
        <v>Gamma</v>
      </c>
      <c r="AK34" s="161">
        <f t="shared" ref="AK34:AK35" si="536">IF(AJ34="Gamma",CE34,V34)</f>
        <v>1.0066886217011117</v>
      </c>
      <c r="AL34" s="161" t="e">
        <f t="shared" ref="AL34:AL35" si="537">VLOOKUP(C34,Export_Library,7,0)</f>
        <v>#REF!</v>
      </c>
      <c r="AM34" s="161">
        <f t="shared" ref="AM34:AM35" si="538">IF(AJ34="Gamma",CG34,0)</f>
        <v>3.9734232748560951</v>
      </c>
      <c r="AN34" s="161" t="e">
        <f t="shared" ref="AN34:AN35" si="539">VLOOKUP(C34,Export_Library,8,0)</f>
        <v>#REF!</v>
      </c>
      <c r="AO34" s="162">
        <v>0</v>
      </c>
      <c r="AP34" s="162" t="e">
        <f t="shared" ref="AP34:AP35" si="540">VLOOKUP(C34,Export_Library,9,0)</f>
        <v>#REF!</v>
      </c>
      <c r="AQ34" s="163">
        <f t="shared" ref="AQ34:AQ35" si="541">IF(AJ34="Gamma",CH34,-AK34*LN(1-0.05))</f>
        <v>0.21043447717865535</v>
      </c>
      <c r="AR34" s="163">
        <f t="shared" ref="AR34:AR35" si="542">IF(AJ34="Gamma",CJ34,-AK34*LN(1-0.5))</f>
        <v>2.7802038431211598</v>
      </c>
      <c r="AS34" s="163">
        <f t="shared" ref="AS34:AS35" si="543">IF(AJ34="Gamma",CK34,-AK34*LN(1-0.95))</f>
        <v>11.95176870651953</v>
      </c>
      <c r="AT34" s="163">
        <f t="shared" ref="AT34:AT35" si="544">IF(AJ34="Gamma",CI34,AK34)</f>
        <v>4</v>
      </c>
      <c r="AU34" s="163">
        <f t="shared" ref="AU34:AU35" si="545">IF(AJ34="Gamma",CL34,AK34)</f>
        <v>3.9866894912225583</v>
      </c>
      <c r="AV34" s="163">
        <f t="shared" ref="AV34:AV35" si="546">AU34^2</f>
        <v>15.893693099424381</v>
      </c>
      <c r="AW34" s="72"/>
      <c r="BA34" s="67">
        <f t="shared" ref="BA34:BA35" si="547">1000000/P34</f>
        <v>2496.0686918103988</v>
      </c>
      <c r="BB34" s="68">
        <f t="shared" ref="BB34:BB35" si="548">1000000/O34</f>
        <v>2949.8525073746314</v>
      </c>
      <c r="BC34" s="68">
        <f t="shared" ref="BC34:BC35" si="549">1000000/N34</f>
        <v>3509.1413131206791</v>
      </c>
      <c r="BD34" s="42" t="e">
        <f t="shared" ref="BD34:BD35" si="550">BW34/2</f>
        <v>#N/A</v>
      </c>
      <c r="BE34" s="42" t="e">
        <f t="shared" ref="BE34:BE35" si="551">BD34/BB34</f>
        <v>#N/A</v>
      </c>
      <c r="BF34" s="42" t="e">
        <f t="shared" ref="BF34:BF35" si="552">1/BE34</f>
        <v>#N/A</v>
      </c>
      <c r="BG34" s="69" t="e">
        <f t="shared" ref="BG34:BG35" si="553">1/2/BE34*BX34</f>
        <v>#N/A</v>
      </c>
      <c r="BH34" s="69" t="e">
        <f t="shared" ref="BH34:BH35" si="554">BD34/BE34</f>
        <v>#N/A</v>
      </c>
      <c r="BI34" s="69" t="e">
        <f t="shared" ref="BI34:BI35" si="555">1/2/BE34*BY34</f>
        <v>#N/A</v>
      </c>
      <c r="BJ34" s="69" t="e">
        <f t="shared" ref="BJ34:BJ35" si="556">1/2/BE34*BZ34</f>
        <v>#N/A</v>
      </c>
      <c r="BK34" s="70" t="e">
        <f t="shared" ref="BK34:BK35" si="557">SQRT(BH34/BE34)</f>
        <v>#N/A</v>
      </c>
      <c r="BL34" s="71">
        <f t="shared" ref="BL34:BL35" si="558">BA34/BB34</f>
        <v>0.84616728652372519</v>
      </c>
      <c r="BM34" s="46">
        <v>200</v>
      </c>
      <c r="BN34" s="47">
        <v>168.2785572871334</v>
      </c>
      <c r="BO34" s="47">
        <v>199.33373862689433</v>
      </c>
      <c r="BP34" s="47">
        <v>233.99426949681305</v>
      </c>
      <c r="BQ34" s="47">
        <f t="shared" ref="BQ34:BQ35" si="559">BN34/BO34</f>
        <v>0.84420509265674837</v>
      </c>
      <c r="BR34" s="46">
        <f t="shared" ref="BR34:BR35" si="560">BM34+1</f>
        <v>201</v>
      </c>
      <c r="BS34" s="47" t="e">
        <v>#N/A</v>
      </c>
      <c r="BT34" s="47" t="e">
        <v>#N/A</v>
      </c>
      <c r="BU34" s="47" t="e">
        <v>#N/A</v>
      </c>
      <c r="BV34" s="47" t="e">
        <f t="shared" ref="BV34:BV35" si="561">BS34/BT34</f>
        <v>#N/A</v>
      </c>
      <c r="BW34" s="47" t="e">
        <f t="shared" ref="BW34:BW35" si="562">(BL34-BQ34)/(BV34-BQ34)*(BR34-BM34)+BM34</f>
        <v>#N/A</v>
      </c>
      <c r="BX34" s="47" t="e">
        <f t="shared" ref="BX34:BX35" si="563">(BL34-BQ34)/(BV34-BQ34)*(BS34-BN34)+BN34</f>
        <v>#N/A</v>
      </c>
      <c r="BY34" s="47" t="e">
        <f t="shared" ref="BY34:BY35" si="564">(BL34-BQ34)/(BV34-BQ34)*(BT34-BO34)+BO34</f>
        <v>#N/A</v>
      </c>
      <c r="BZ34" s="48" t="e">
        <f t="shared" ref="BZ34:BZ35" si="565">(BL34-BQ34)/(BV34-BQ34)*(BU34-BP34)+BP34</f>
        <v>#N/A</v>
      </c>
      <c r="CB34" s="39">
        <f t="shared" ref="CB34:CB35" si="566">S34</f>
        <v>0.3</v>
      </c>
      <c r="CC34" s="40">
        <f t="shared" ref="CC34:CC35" si="567">T34</f>
        <v>4</v>
      </c>
      <c r="CD34" s="40">
        <f t="shared" ref="CD34:CD35" si="568">U34</f>
        <v>17</v>
      </c>
      <c r="CE34" s="120">
        <f t="shared" ref="CE34:CE35" si="569">CX34/2</f>
        <v>1.0066886217011117</v>
      </c>
      <c r="CF34" s="42">
        <f t="shared" ref="CF34:CF35" si="570">CE34/CC34</f>
        <v>0.25167215542527793</v>
      </c>
      <c r="CG34" s="41">
        <f t="shared" ref="CG34:CG35" si="571">1/CF34</f>
        <v>3.9734232748560951</v>
      </c>
      <c r="CH34" s="43">
        <f t="shared" ref="CH34:CH35" si="572">1/2/CF34*CY34</f>
        <v>0.21043447717865535</v>
      </c>
      <c r="CI34" s="43">
        <f t="shared" ref="CI34:CI35" si="573">CE34/CF34</f>
        <v>4</v>
      </c>
      <c r="CJ34" s="43">
        <f t="shared" ref="CJ34:CJ35" si="574">1/2/CF34*CZ34</f>
        <v>2.7802038431211598</v>
      </c>
      <c r="CK34" s="43">
        <f t="shared" ref="CK34:CK35" si="575">1/2/CF34*DA34</f>
        <v>11.95176870651953</v>
      </c>
      <c r="CL34" s="44">
        <f t="shared" ref="CL34:CL35" si="576">SQRT(CI34/CF34)</f>
        <v>3.9866894912225583</v>
      </c>
      <c r="CM34" s="45">
        <f t="shared" ref="CM34:CM35" si="577">CB34/CC34</f>
        <v>7.4999999999999997E-2</v>
      </c>
      <c r="CN34" s="46">
        <v>2</v>
      </c>
      <c r="CO34" s="47">
        <v>0.10258658882167279</v>
      </c>
      <c r="CP34" s="47">
        <v>1.3862943760896287</v>
      </c>
      <c r="CQ34" s="47">
        <v>5.9914645471914136</v>
      </c>
      <c r="CR34" s="47">
        <f t="shared" ref="CR34:CR35" si="578">CO34/CP34</f>
        <v>7.4000580678284605E-2</v>
      </c>
      <c r="CS34" s="46">
        <f t="shared" ref="CS34:CS35" si="579">CN34+1</f>
        <v>3</v>
      </c>
      <c r="CT34" s="47">
        <v>0.35184631840544622</v>
      </c>
      <c r="CU34" s="47">
        <v>2.3659738927290714</v>
      </c>
      <c r="CV34" s="47">
        <v>7.81472776394987</v>
      </c>
      <c r="CW34" s="47">
        <f t="shared" ref="CW34:CW35" si="580">CT34/CU34</f>
        <v>0.14871098936751298</v>
      </c>
      <c r="CX34" s="47">
        <f t="shared" ref="CX34:CX35" si="581">(CM34-CR34)/(CW34-CR34)*(CS34-CN34)+CN34</f>
        <v>2.0133772434022235</v>
      </c>
      <c r="CY34" s="47">
        <f t="shared" ref="CY34:CY35" si="582">(CM34-CR34)/(CW34-CR34)*(CT34-CO34)+CO34</f>
        <v>0.1059209968946873</v>
      </c>
      <c r="CZ34" s="47">
        <f t="shared" ref="CZ34:CZ35" si="583">(CM34-CR34)/(CW34-CR34)*(CU34-CP34)+CP34</f>
        <v>1.3993997874398871</v>
      </c>
      <c r="DA34" s="48">
        <f t="shared" ref="DA34:DA35" si="584">(CM34-CR34)/(CW34-CR34)*(CV34-CQ34)+CQ34</f>
        <v>6.0158547830283124</v>
      </c>
    </row>
    <row r="35" spans="1:105" x14ac:dyDescent="0.3">
      <c r="A35" s="158">
        <f t="shared" si="30"/>
        <v>30</v>
      </c>
      <c r="B35" s="158">
        <f t="shared" si="31"/>
        <v>30</v>
      </c>
      <c r="C35" s="74" t="s">
        <v>1361</v>
      </c>
      <c r="D35" s="72" t="s">
        <v>1373</v>
      </c>
      <c r="E35" s="250" t="s">
        <v>1374</v>
      </c>
      <c r="F35" s="158" t="s">
        <v>1365</v>
      </c>
      <c r="G35" s="159" t="s">
        <v>1377</v>
      </c>
      <c r="H35" s="157" t="e">
        <f t="shared" si="396"/>
        <v>#N/A</v>
      </c>
      <c r="I35" s="157" t="e">
        <f t="shared" si="396"/>
        <v>#N/A</v>
      </c>
      <c r="J35" s="223">
        <v>1</v>
      </c>
      <c r="K35" s="157" t="e">
        <f t="shared" si="396"/>
        <v>#N/A</v>
      </c>
      <c r="L35" s="157" t="e">
        <f t="shared" si="396"/>
        <v>#N/A</v>
      </c>
      <c r="M35" s="222">
        <f>0.00349315068493151</f>
        <v>3.4931506849315099E-3</v>
      </c>
      <c r="N35" s="240" t="e">
        <f t="shared" si="396"/>
        <v>#N/A</v>
      </c>
      <c r="O35" s="240" t="e">
        <f t="shared" si="396"/>
        <v>#N/A</v>
      </c>
      <c r="P35" s="240" t="e">
        <f t="shared" si="396"/>
        <v>#N/A</v>
      </c>
      <c r="Q35" s="240" t="e">
        <f t="shared" si="396"/>
        <v>#N/A</v>
      </c>
      <c r="R35" s="285">
        <f>M35/J35</f>
        <v>3.4931506849315099E-3</v>
      </c>
      <c r="S35" s="242" t="e">
        <f t="shared" si="5"/>
        <v>#N/A</v>
      </c>
      <c r="T35" s="242" t="e">
        <f t="shared" si="398"/>
        <v>#N/A</v>
      </c>
      <c r="U35" s="242" t="e">
        <f t="shared" si="398"/>
        <v>#N/A</v>
      </c>
      <c r="V35" s="226">
        <v>36</v>
      </c>
      <c r="W35" s="286" t="str">
        <f t="shared" si="523"/>
        <v>Exponential</v>
      </c>
      <c r="X35" s="160">
        <f t="shared" si="524"/>
        <v>286274509.80392134</v>
      </c>
      <c r="Y35" s="160" t="e">
        <f t="shared" si="525"/>
        <v>#REF!</v>
      </c>
      <c r="Z35" s="160">
        <f t="shared" si="526"/>
        <v>0</v>
      </c>
      <c r="AA35" s="160" t="e">
        <f t="shared" si="527"/>
        <v>#REF!</v>
      </c>
      <c r="AB35" s="160">
        <v>0</v>
      </c>
      <c r="AC35" s="160" t="e">
        <f t="shared" si="528"/>
        <v>#REF!</v>
      </c>
      <c r="AD35" s="160">
        <f t="shared" si="529"/>
        <v>14683962.707024271</v>
      </c>
      <c r="AE35" s="160">
        <f t="shared" si="530"/>
        <v>198430369.33676851</v>
      </c>
      <c r="AF35" s="160">
        <f t="shared" si="531"/>
        <v>857601788.11545527</v>
      </c>
      <c r="AG35" s="160">
        <f t="shared" si="532"/>
        <v>286274509.80392134</v>
      </c>
      <c r="AH35" s="160">
        <f t="shared" si="533"/>
        <v>286274509.80392134</v>
      </c>
      <c r="AI35" s="160">
        <f t="shared" si="534"/>
        <v>8.1953094963475456E+16</v>
      </c>
      <c r="AJ35" s="158" t="str">
        <f t="shared" si="535"/>
        <v>Exponential</v>
      </c>
      <c r="AK35" s="161">
        <f t="shared" si="536"/>
        <v>36</v>
      </c>
      <c r="AL35" s="161" t="e">
        <f t="shared" si="537"/>
        <v>#REF!</v>
      </c>
      <c r="AM35" s="161">
        <f t="shared" si="538"/>
        <v>0</v>
      </c>
      <c r="AN35" s="161" t="e">
        <f t="shared" si="539"/>
        <v>#REF!</v>
      </c>
      <c r="AO35" s="162">
        <v>0</v>
      </c>
      <c r="AP35" s="162" t="e">
        <f t="shared" si="540"/>
        <v>#REF!</v>
      </c>
      <c r="AQ35" s="163">
        <f t="shared" si="541"/>
        <v>1.8465585979518209</v>
      </c>
      <c r="AR35" s="163">
        <f t="shared" si="542"/>
        <v>24.953298500158031</v>
      </c>
      <c r="AS35" s="163">
        <f t="shared" si="543"/>
        <v>107.84636184794364</v>
      </c>
      <c r="AT35" s="163">
        <f t="shared" si="544"/>
        <v>36</v>
      </c>
      <c r="AU35" s="163">
        <f t="shared" si="545"/>
        <v>36</v>
      </c>
      <c r="AV35" s="163">
        <f t="shared" si="546"/>
        <v>1296</v>
      </c>
      <c r="AW35" s="72"/>
      <c r="BA35" s="67" t="e">
        <f t="shared" si="547"/>
        <v>#N/A</v>
      </c>
      <c r="BB35" s="68" t="e">
        <f t="shared" si="548"/>
        <v>#N/A</v>
      </c>
      <c r="BC35" s="68" t="e">
        <f t="shared" si="549"/>
        <v>#N/A</v>
      </c>
      <c r="BD35" s="42" t="e">
        <f t="shared" si="550"/>
        <v>#N/A</v>
      </c>
      <c r="BE35" s="42" t="e">
        <f t="shared" si="551"/>
        <v>#N/A</v>
      </c>
      <c r="BF35" s="42" t="e">
        <f t="shared" si="552"/>
        <v>#N/A</v>
      </c>
      <c r="BG35" s="69" t="e">
        <f t="shared" si="553"/>
        <v>#N/A</v>
      </c>
      <c r="BH35" s="69" t="e">
        <f t="shared" si="554"/>
        <v>#N/A</v>
      </c>
      <c r="BI35" s="69" t="e">
        <f t="shared" si="555"/>
        <v>#N/A</v>
      </c>
      <c r="BJ35" s="69" t="e">
        <f t="shared" si="556"/>
        <v>#N/A</v>
      </c>
      <c r="BK35" s="70" t="e">
        <f t="shared" si="557"/>
        <v>#N/A</v>
      </c>
      <c r="BL35" s="71" t="e">
        <f t="shared" si="558"/>
        <v>#N/A</v>
      </c>
      <c r="BM35" s="46" t="e">
        <v>#N/A</v>
      </c>
      <c r="BN35" s="47" t="e">
        <v>#N/A</v>
      </c>
      <c r="BO35" s="47" t="e">
        <v>#N/A</v>
      </c>
      <c r="BP35" s="47" t="e">
        <v>#N/A</v>
      </c>
      <c r="BQ35" s="47" t="e">
        <f t="shared" si="559"/>
        <v>#N/A</v>
      </c>
      <c r="BR35" s="46" t="e">
        <f t="shared" si="560"/>
        <v>#N/A</v>
      </c>
      <c r="BS35" s="47" t="e">
        <v>#N/A</v>
      </c>
      <c r="BT35" s="47" t="e">
        <v>#N/A</v>
      </c>
      <c r="BU35" s="47" t="e">
        <v>#N/A</v>
      </c>
      <c r="BV35" s="47" t="e">
        <f t="shared" si="561"/>
        <v>#N/A</v>
      </c>
      <c r="BW35" s="47" t="e">
        <f t="shared" si="562"/>
        <v>#N/A</v>
      </c>
      <c r="BX35" s="47" t="e">
        <f t="shared" si="563"/>
        <v>#N/A</v>
      </c>
      <c r="BY35" s="47" t="e">
        <f t="shared" si="564"/>
        <v>#N/A</v>
      </c>
      <c r="BZ35" s="48" t="e">
        <f t="shared" si="565"/>
        <v>#N/A</v>
      </c>
      <c r="CB35" s="39" t="e">
        <f t="shared" si="566"/>
        <v>#N/A</v>
      </c>
      <c r="CC35" s="40" t="e">
        <f t="shared" si="567"/>
        <v>#N/A</v>
      </c>
      <c r="CD35" s="40" t="e">
        <f t="shared" si="568"/>
        <v>#N/A</v>
      </c>
      <c r="CE35" s="120" t="e">
        <f t="shared" si="569"/>
        <v>#N/A</v>
      </c>
      <c r="CF35" s="42" t="e">
        <f t="shared" si="570"/>
        <v>#N/A</v>
      </c>
      <c r="CG35" s="41" t="e">
        <f t="shared" si="571"/>
        <v>#N/A</v>
      </c>
      <c r="CH35" s="43" t="e">
        <f t="shared" si="572"/>
        <v>#N/A</v>
      </c>
      <c r="CI35" s="43" t="e">
        <f t="shared" si="573"/>
        <v>#N/A</v>
      </c>
      <c r="CJ35" s="43" t="e">
        <f t="shared" si="574"/>
        <v>#N/A</v>
      </c>
      <c r="CK35" s="43" t="e">
        <f t="shared" si="575"/>
        <v>#N/A</v>
      </c>
      <c r="CL35" s="44" t="e">
        <f t="shared" si="576"/>
        <v>#N/A</v>
      </c>
      <c r="CM35" s="45" t="e">
        <f t="shared" si="577"/>
        <v>#N/A</v>
      </c>
      <c r="CN35" s="46" t="e">
        <v>#N/A</v>
      </c>
      <c r="CO35" s="47" t="e">
        <v>#N/A</v>
      </c>
      <c r="CP35" s="47" t="e">
        <v>#N/A</v>
      </c>
      <c r="CQ35" s="47" t="e">
        <v>#N/A</v>
      </c>
      <c r="CR35" s="47" t="e">
        <f t="shared" si="578"/>
        <v>#N/A</v>
      </c>
      <c r="CS35" s="46" t="e">
        <f t="shared" si="579"/>
        <v>#N/A</v>
      </c>
      <c r="CT35" s="47" t="e">
        <v>#N/A</v>
      </c>
      <c r="CU35" s="47" t="e">
        <v>#N/A</v>
      </c>
      <c r="CV35" s="47" t="e">
        <v>#N/A</v>
      </c>
      <c r="CW35" s="47" t="e">
        <f t="shared" si="580"/>
        <v>#N/A</v>
      </c>
      <c r="CX35" s="47" t="e">
        <f t="shared" si="581"/>
        <v>#N/A</v>
      </c>
      <c r="CY35" s="47" t="e">
        <f t="shared" si="582"/>
        <v>#N/A</v>
      </c>
      <c r="CZ35" s="47" t="e">
        <f t="shared" si="583"/>
        <v>#N/A</v>
      </c>
      <c r="DA35" s="48" t="e">
        <f t="shared" si="584"/>
        <v>#N/A</v>
      </c>
    </row>
    <row r="36" spans="1:105" x14ac:dyDescent="0.3">
      <c r="E36" s="138"/>
      <c r="F36" s="138"/>
      <c r="G36" s="224"/>
      <c r="H36" s="138"/>
    </row>
    <row r="37" spans="1:105" x14ac:dyDescent="0.3">
      <c r="F37" s="138"/>
      <c r="G37" s="224"/>
      <c r="H37" s="138"/>
    </row>
    <row r="40" spans="1:105" x14ac:dyDescent="0.3">
      <c r="E40" s="138"/>
      <c r="F40" s="138"/>
      <c r="G40" s="224"/>
      <c r="H40" s="138"/>
    </row>
    <row r="41" spans="1:105" x14ac:dyDescent="0.3">
      <c r="F41" s="138"/>
      <c r="G41" s="224"/>
      <c r="H41" s="138"/>
    </row>
    <row r="44" spans="1:105" x14ac:dyDescent="0.3">
      <c r="E44" s="138"/>
      <c r="F44" s="138"/>
      <c r="G44" s="224"/>
      <c r="H44" s="138"/>
    </row>
    <row r="45" spans="1:105" x14ac:dyDescent="0.3">
      <c r="F45" s="138"/>
      <c r="G45" s="224"/>
      <c r="H45" s="138"/>
    </row>
    <row r="49" spans="5:8" x14ac:dyDescent="0.3">
      <c r="E49" s="138"/>
      <c r="F49" s="138"/>
      <c r="G49" s="224"/>
      <c r="H49" s="138"/>
    </row>
    <row r="50" spans="5:8" x14ac:dyDescent="0.3">
      <c r="F50" s="138"/>
      <c r="G50" s="224"/>
      <c r="H50" s="138"/>
    </row>
  </sheetData>
  <autoFilter ref="A5:DA35" xr:uid="{00000000-0001-0000-0500-000000000000}"/>
  <sortState xmlns:xlrd2="http://schemas.microsoft.com/office/spreadsheetml/2017/richdata2" ref="C6:AW40">
    <sortCondition ref="C6:C40"/>
  </sortState>
  <mergeCells count="32">
    <mergeCell ref="CB4:CD4"/>
    <mergeCell ref="CE4:CL4"/>
    <mergeCell ref="CM4:CR4"/>
    <mergeCell ref="BA3:BK3"/>
    <mergeCell ref="BL3:BZ3"/>
    <mergeCell ref="CB3:CL3"/>
    <mergeCell ref="CM3:DA3"/>
    <mergeCell ref="BD4:BK4"/>
    <mergeCell ref="CS4:CW4"/>
    <mergeCell ref="CX4:DA4"/>
    <mergeCell ref="BM4:BQ4"/>
    <mergeCell ref="BR4:BV4"/>
    <mergeCell ref="BW4:BZ4"/>
    <mergeCell ref="N4:R4"/>
    <mergeCell ref="S4:V4"/>
    <mergeCell ref="W4:AI4"/>
    <mergeCell ref="AJ4:AV4"/>
    <mergeCell ref="BA4:BC4"/>
    <mergeCell ref="AW4:AW5"/>
    <mergeCell ref="A4:A5"/>
    <mergeCell ref="B4:B5"/>
    <mergeCell ref="C4:C5"/>
    <mergeCell ref="D4:D5"/>
    <mergeCell ref="E4:E5"/>
    <mergeCell ref="K4:K5"/>
    <mergeCell ref="L4:L5"/>
    <mergeCell ref="M4:M5"/>
    <mergeCell ref="F4:F5"/>
    <mergeCell ref="G4:G5"/>
    <mergeCell ref="H4:H5"/>
    <mergeCell ref="I4:I5"/>
    <mergeCell ref="J4:J5"/>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3206" r:id="rId4" name="Button 54">
              <controlPr defaultSize="0" print="0" autoFill="0" autoPict="0" macro="[0]!DataSheets">
                <anchor moveWithCells="1" sizeWithCells="1">
                  <from>
                    <xdr:col>49</xdr:col>
                    <xdr:colOff>373380</xdr:colOff>
                    <xdr:row>0</xdr:row>
                    <xdr:rowOff>144780</xdr:rowOff>
                  </from>
                  <to>
                    <xdr:col>51</xdr:col>
                    <xdr:colOff>220980</xdr:colOff>
                    <xdr:row>3</xdr:row>
                    <xdr:rowOff>68580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
    <pageSetUpPr fitToPage="1"/>
  </sheetPr>
  <dimension ref="B1:U151"/>
  <sheetViews>
    <sheetView showGridLines="0" zoomScaleNormal="100" workbookViewId="0">
      <selection activeCell="P23" sqref="P23"/>
    </sheetView>
  </sheetViews>
  <sheetFormatPr baseColWidth="10" defaultColWidth="11.44140625" defaultRowHeight="13.8" x14ac:dyDescent="0.3"/>
  <cols>
    <col min="1" max="1" width="2.44140625" style="260" customWidth="1"/>
    <col min="2" max="13" width="10.6640625" style="260" customWidth="1"/>
    <col min="14" max="16" width="11.44140625" style="260"/>
    <col min="17" max="17" width="14.88671875" style="260" bestFit="1" customWidth="1"/>
    <col min="18" max="16384" width="11.44140625" style="260"/>
  </cols>
  <sheetData>
    <row r="1" spans="2:21" ht="14.4" thickBot="1" x14ac:dyDescent="0.35">
      <c r="B1" s="256"/>
      <c r="C1" s="256"/>
    </row>
    <row r="2" spans="2:21" ht="34.950000000000003" customHeight="1" x14ac:dyDescent="0.3">
      <c r="B2" s="328"/>
      <c r="C2" s="329"/>
      <c r="D2" s="322" t="s">
        <v>1309</v>
      </c>
      <c r="E2" s="323"/>
      <c r="F2" s="323"/>
      <c r="G2" s="323"/>
      <c r="H2" s="323"/>
      <c r="I2" s="323"/>
      <c r="J2" s="323"/>
      <c r="K2" s="324"/>
      <c r="L2" s="318"/>
      <c r="M2" s="319"/>
    </row>
    <row r="3" spans="2:21" ht="25.05" customHeight="1" x14ac:dyDescent="0.3">
      <c r="B3" s="330"/>
      <c r="C3" s="331"/>
      <c r="D3" s="325"/>
      <c r="E3" s="326"/>
      <c r="F3" s="326"/>
      <c r="G3" s="326"/>
      <c r="H3" s="326"/>
      <c r="I3" s="326"/>
      <c r="J3" s="326"/>
      <c r="K3" s="327"/>
      <c r="L3" s="320"/>
      <c r="M3" s="321"/>
    </row>
    <row r="4" spans="2:21" ht="15" customHeight="1" x14ac:dyDescent="0.3">
      <c r="B4" s="332" t="s">
        <v>400</v>
      </c>
      <c r="C4" s="340"/>
      <c r="D4" s="340"/>
      <c r="E4" s="340"/>
      <c r="F4" s="333"/>
      <c r="G4" s="336" t="s">
        <v>1298</v>
      </c>
      <c r="H4" s="398"/>
      <c r="I4" s="398"/>
      <c r="J4" s="399"/>
      <c r="K4" s="261" t="s">
        <v>401</v>
      </c>
      <c r="L4" s="336" t="s">
        <v>402</v>
      </c>
      <c r="M4" s="337"/>
    </row>
    <row r="5" spans="2:21" s="253" customFormat="1" ht="25.05" customHeight="1" x14ac:dyDescent="0.3">
      <c r="B5" s="345" t="s">
        <v>1313</v>
      </c>
      <c r="C5" s="346"/>
      <c r="D5" s="346"/>
      <c r="E5" s="346"/>
      <c r="F5" s="347"/>
      <c r="G5" s="338" t="s">
        <v>1311</v>
      </c>
      <c r="H5" s="400"/>
      <c r="I5" s="400"/>
      <c r="J5" s="331"/>
      <c r="K5" s="245" t="s">
        <v>1297</v>
      </c>
      <c r="L5" s="338" t="s">
        <v>1312</v>
      </c>
      <c r="M5" s="339"/>
    </row>
    <row r="6" spans="2:21" ht="15" customHeight="1" x14ac:dyDescent="0.3">
      <c r="B6" s="332" t="s">
        <v>403</v>
      </c>
      <c r="C6" s="333"/>
      <c r="D6" s="336" t="s">
        <v>404</v>
      </c>
      <c r="E6" s="340"/>
      <c r="F6" s="333"/>
      <c r="G6" s="336" t="s">
        <v>407</v>
      </c>
      <c r="H6" s="340"/>
      <c r="I6" s="340"/>
      <c r="J6" s="340"/>
      <c r="K6" s="262" t="s">
        <v>405</v>
      </c>
      <c r="L6" s="340" t="s">
        <v>406</v>
      </c>
      <c r="M6" s="337"/>
    </row>
    <row r="7" spans="2:21" s="253" customFormat="1" ht="25.05" customHeight="1" thickBot="1" x14ac:dyDescent="0.35">
      <c r="B7" s="334" t="s">
        <v>1310</v>
      </c>
      <c r="C7" s="335"/>
      <c r="D7" s="343" t="s">
        <v>1294</v>
      </c>
      <c r="E7" s="344"/>
      <c r="F7" s="335"/>
      <c r="G7" s="343" t="s">
        <v>1311</v>
      </c>
      <c r="H7" s="344"/>
      <c r="I7" s="344"/>
      <c r="J7" s="335"/>
      <c r="K7" s="246" t="str">
        <f>Datos!B2 &amp; " de 30"</f>
        <v>1 de 30</v>
      </c>
      <c r="L7" s="341">
        <v>44489</v>
      </c>
      <c r="M7" s="342"/>
      <c r="O7" s="263"/>
    </row>
    <row r="8" spans="2:21" x14ac:dyDescent="0.3">
      <c r="B8" s="264"/>
      <c r="C8" s="264"/>
      <c r="D8" s="265"/>
      <c r="E8" s="264"/>
      <c r="K8" s="264"/>
      <c r="M8" s="266"/>
    </row>
    <row r="9" spans="2:21" ht="16.2" thickBot="1" x14ac:dyDescent="0.35">
      <c r="B9" s="317" t="s">
        <v>331</v>
      </c>
      <c r="C9" s="317"/>
      <c r="D9" s="254"/>
    </row>
    <row r="10" spans="2:21" ht="19.95" customHeight="1" x14ac:dyDescent="0.3">
      <c r="B10" s="361" t="s">
        <v>0</v>
      </c>
      <c r="C10" s="362"/>
      <c r="D10" s="363" t="str">
        <f>Datos!C2</f>
        <v>XV-110XX</v>
      </c>
      <c r="E10" s="364"/>
      <c r="F10" s="364"/>
      <c r="G10" s="364"/>
      <c r="H10" s="364"/>
      <c r="I10" s="364"/>
      <c r="J10" s="364"/>
      <c r="K10" s="364"/>
      <c r="L10" s="364"/>
      <c r="M10" s="365"/>
    </row>
    <row r="11" spans="2:21" ht="19.95" customHeight="1" x14ac:dyDescent="0.3">
      <c r="B11" s="366" t="s">
        <v>159</v>
      </c>
      <c r="C11" s="367"/>
      <c r="D11" s="368" t="str">
        <f>Datos!D2</f>
        <v>9 Vávulas Shutoff</v>
      </c>
      <c r="E11" s="369"/>
      <c r="F11" s="369"/>
      <c r="G11" s="369"/>
      <c r="H11" s="369"/>
      <c r="I11" s="369"/>
      <c r="J11" s="369"/>
      <c r="K11" s="369"/>
      <c r="L11" s="369"/>
      <c r="M11" s="370"/>
      <c r="O11" s="256"/>
      <c r="R11" s="256"/>
      <c r="S11" s="256"/>
      <c r="T11" s="256"/>
      <c r="U11" s="256"/>
    </row>
    <row r="12" spans="2:21" ht="19.95" customHeight="1" thickBot="1" x14ac:dyDescent="0.35">
      <c r="B12" s="352" t="s">
        <v>289</v>
      </c>
      <c r="C12" s="353"/>
      <c r="D12" s="354" t="str">
        <f>Datos!E2</f>
        <v>Valves Described By Application Shut-Off</v>
      </c>
      <c r="E12" s="355"/>
      <c r="F12" s="355"/>
      <c r="G12" s="355"/>
      <c r="H12" s="355"/>
      <c r="I12" s="355"/>
      <c r="J12" s="355"/>
      <c r="K12" s="355"/>
      <c r="L12" s="355"/>
      <c r="M12" s="356"/>
      <c r="O12" s="256"/>
      <c r="R12" s="256"/>
      <c r="S12" s="256"/>
      <c r="T12" s="256"/>
      <c r="U12" s="256"/>
    </row>
    <row r="13" spans="2:21" ht="15" customHeight="1" x14ac:dyDescent="0.3">
      <c r="B13" s="127"/>
      <c r="C13" s="267"/>
      <c r="D13" s="267"/>
      <c r="E13" s="256"/>
      <c r="F13" s="256"/>
      <c r="G13" s="127"/>
      <c r="H13" s="127"/>
      <c r="I13" s="127"/>
      <c r="J13" s="127"/>
      <c r="K13" s="127"/>
      <c r="L13" s="256"/>
      <c r="M13" s="256"/>
      <c r="O13" s="256"/>
      <c r="P13" s="256"/>
      <c r="Q13" s="256"/>
      <c r="R13" s="256"/>
      <c r="S13" s="256"/>
      <c r="T13" s="256"/>
      <c r="U13" s="256"/>
    </row>
    <row r="14" spans="2:21" ht="15" customHeight="1" thickBot="1" x14ac:dyDescent="0.35">
      <c r="B14" s="268" t="s">
        <v>290</v>
      </c>
      <c r="C14" s="135"/>
      <c r="D14" s="254"/>
      <c r="E14" s="127"/>
      <c r="F14" s="127"/>
      <c r="G14" s="127"/>
      <c r="H14" s="127"/>
      <c r="I14" s="127"/>
      <c r="J14" s="127"/>
      <c r="K14" s="127"/>
      <c r="L14" s="256"/>
      <c r="M14" s="256"/>
      <c r="N14" s="269"/>
      <c r="O14" s="270"/>
      <c r="P14" s="270"/>
      <c r="Q14" s="270"/>
      <c r="R14" s="270"/>
      <c r="S14" s="270"/>
      <c r="T14" s="270"/>
      <c r="U14" s="270"/>
    </row>
    <row r="15" spans="2:21" ht="19.95" customHeight="1" thickBot="1" x14ac:dyDescent="0.35">
      <c r="B15" s="357" t="s">
        <v>291</v>
      </c>
      <c r="C15" s="358"/>
      <c r="D15" s="358"/>
      <c r="E15" s="359" t="str">
        <f>Datos!F2</f>
        <v>OREDA</v>
      </c>
      <c r="F15" s="359"/>
      <c r="G15" s="359"/>
      <c r="H15" s="401" t="s">
        <v>292</v>
      </c>
      <c r="I15" s="402"/>
      <c r="J15" s="403"/>
      <c r="K15" s="359" t="str">
        <f>Datos!G2</f>
        <v>4.4.14</v>
      </c>
      <c r="L15" s="359"/>
      <c r="M15" s="360"/>
      <c r="N15" s="269"/>
      <c r="O15" s="270"/>
      <c r="P15" s="270"/>
      <c r="Q15" s="270"/>
      <c r="R15" s="270"/>
      <c r="S15" s="270"/>
      <c r="T15" s="270"/>
      <c r="U15" s="270"/>
    </row>
    <row r="16" spans="2:21" s="256" customFormat="1" ht="3" customHeight="1" thickBot="1" x14ac:dyDescent="0.35">
      <c r="B16" s="15"/>
      <c r="C16" s="127"/>
      <c r="D16" s="127"/>
      <c r="E16" s="127"/>
      <c r="F16" s="127"/>
      <c r="G16" s="15"/>
      <c r="H16" s="15"/>
      <c r="I16" s="127"/>
      <c r="J16" s="127"/>
      <c r="K16" s="127"/>
      <c r="L16" s="127"/>
      <c r="M16" s="127"/>
      <c r="N16" s="270"/>
      <c r="O16" s="270"/>
      <c r="P16" s="270"/>
      <c r="Q16" s="270"/>
      <c r="R16" s="270"/>
      <c r="S16" s="270"/>
      <c r="T16" s="270"/>
      <c r="U16" s="270"/>
    </row>
    <row r="17" spans="2:21" ht="15" customHeight="1" x14ac:dyDescent="0.3">
      <c r="B17" s="384" t="s">
        <v>293</v>
      </c>
      <c r="C17" s="377"/>
      <c r="D17" s="377" t="s">
        <v>419</v>
      </c>
      <c r="E17" s="377"/>
      <c r="F17" s="377" t="s">
        <v>294</v>
      </c>
      <c r="G17" s="377"/>
      <c r="H17" s="377"/>
      <c r="I17" s="377"/>
      <c r="J17" s="377"/>
      <c r="K17" s="377"/>
      <c r="L17" s="377"/>
      <c r="M17" s="378"/>
      <c r="N17" s="16"/>
      <c r="O17" s="16"/>
      <c r="P17" s="16"/>
      <c r="Q17" s="16"/>
      <c r="R17" s="16"/>
      <c r="S17" s="270"/>
      <c r="T17" s="270"/>
      <c r="U17" s="270"/>
    </row>
    <row r="18" spans="2:21" ht="15" customHeight="1" x14ac:dyDescent="0.3">
      <c r="B18" s="385">
        <f>Datos!H2</f>
        <v>50</v>
      </c>
      <c r="C18" s="386"/>
      <c r="D18" s="386">
        <f>Datos!I2</f>
        <v>5</v>
      </c>
      <c r="E18" s="386"/>
      <c r="F18" s="389" t="s">
        <v>295</v>
      </c>
      <c r="G18" s="389"/>
      <c r="H18" s="389"/>
      <c r="I18" s="389"/>
      <c r="J18" s="373" t="s">
        <v>296</v>
      </c>
      <c r="K18" s="373"/>
      <c r="L18" s="373"/>
      <c r="M18" s="374"/>
      <c r="N18" s="269"/>
      <c r="S18" s="270"/>
      <c r="T18" s="270"/>
      <c r="U18" s="270"/>
    </row>
    <row r="19" spans="2:21" ht="15" customHeight="1" thickBot="1" x14ac:dyDescent="0.35">
      <c r="B19" s="387"/>
      <c r="C19" s="388"/>
      <c r="D19" s="388"/>
      <c r="E19" s="388"/>
      <c r="F19" s="390">
        <f>Datos!J2</f>
        <v>0.84670000000000001</v>
      </c>
      <c r="G19" s="390"/>
      <c r="H19" s="390"/>
      <c r="I19" s="390"/>
      <c r="J19" s="375">
        <f>Datos!K2</f>
        <v>0.84040000000000004</v>
      </c>
      <c r="K19" s="375"/>
      <c r="L19" s="375"/>
      <c r="M19" s="376"/>
      <c r="N19" s="269"/>
      <c r="S19" s="270"/>
      <c r="T19" s="270"/>
      <c r="U19" s="270"/>
    </row>
    <row r="20" spans="2:21" s="270" customFormat="1" ht="3" customHeight="1" thickBot="1" x14ac:dyDescent="0.35">
      <c r="B20" s="16"/>
      <c r="C20" s="16"/>
      <c r="D20" s="16"/>
      <c r="E20" s="16"/>
      <c r="F20" s="16"/>
      <c r="G20" s="17"/>
      <c r="H20" s="17"/>
      <c r="I20" s="17"/>
      <c r="J20" s="17"/>
      <c r="K20" s="17"/>
      <c r="L20" s="17"/>
      <c r="M20" s="17"/>
    </row>
    <row r="21" spans="2:21" ht="15" customHeight="1" x14ac:dyDescent="0.3">
      <c r="B21" s="384" t="s">
        <v>272</v>
      </c>
      <c r="C21" s="391"/>
      <c r="D21" s="394" t="s">
        <v>297</v>
      </c>
      <c r="E21" s="371" t="s">
        <v>298</v>
      </c>
      <c r="F21" s="371"/>
      <c r="G21" s="371"/>
      <c r="H21" s="371"/>
      <c r="I21" s="371"/>
      <c r="J21" s="371" t="s">
        <v>1296</v>
      </c>
      <c r="K21" s="371"/>
      <c r="L21" s="371"/>
      <c r="M21" s="372"/>
      <c r="N21" s="269"/>
      <c r="O21" s="270"/>
      <c r="P21" s="270"/>
      <c r="Q21" s="270"/>
      <c r="R21" s="270"/>
      <c r="S21" s="270"/>
      <c r="T21" s="270"/>
      <c r="U21" s="270"/>
    </row>
    <row r="22" spans="2:21" ht="15" customHeight="1" x14ac:dyDescent="0.3">
      <c r="B22" s="392"/>
      <c r="C22" s="393"/>
      <c r="D22" s="395"/>
      <c r="E22" s="18" t="s">
        <v>299</v>
      </c>
      <c r="F22" s="18" t="s">
        <v>300</v>
      </c>
      <c r="G22" s="18" t="s">
        <v>301</v>
      </c>
      <c r="H22" s="18" t="s">
        <v>302</v>
      </c>
      <c r="I22" s="18" t="s">
        <v>408</v>
      </c>
      <c r="J22" s="18" t="s">
        <v>278</v>
      </c>
      <c r="K22" s="18" t="s">
        <v>300</v>
      </c>
      <c r="L22" s="18" t="s">
        <v>280</v>
      </c>
      <c r="M22" s="19" t="s">
        <v>408</v>
      </c>
      <c r="N22" s="269"/>
      <c r="O22" s="270"/>
      <c r="P22" s="253">
        <v>1</v>
      </c>
      <c r="Q22" s="270"/>
      <c r="R22" s="270"/>
      <c r="S22" s="270"/>
      <c r="T22" s="270"/>
      <c r="U22" s="270"/>
    </row>
    <row r="23" spans="2:21" ht="15" customHeight="1" thickBot="1" x14ac:dyDescent="0.35">
      <c r="B23" s="396" t="s">
        <v>422</v>
      </c>
      <c r="C23" s="397"/>
      <c r="D23" s="251">
        <f>Datos!M2</f>
        <v>16</v>
      </c>
      <c r="E23" s="145">
        <f>Datos!N2</f>
        <v>1.46</v>
      </c>
      <c r="F23" s="145">
        <f>Datos!O2</f>
        <v>27.77</v>
      </c>
      <c r="G23" s="145">
        <f>Datos!P2</f>
        <v>82.71</v>
      </c>
      <c r="H23" s="145">
        <f>Datos!Q2</f>
        <v>27.58</v>
      </c>
      <c r="I23" s="145">
        <f>Datos!R2</f>
        <v>19.04</v>
      </c>
      <c r="J23" s="145">
        <f>Datos!S2</f>
        <v>0.3</v>
      </c>
      <c r="K23" s="145">
        <f>Datos!T2</f>
        <v>4.5999999999999996</v>
      </c>
      <c r="L23" s="145">
        <f>Datos!U2</f>
        <v>11</v>
      </c>
      <c r="M23" s="146" t="str">
        <f>Datos!V2</f>
        <v/>
      </c>
      <c r="N23" s="269"/>
      <c r="O23" s="269"/>
      <c r="P23" s="269"/>
      <c r="Q23" s="269"/>
      <c r="R23" s="269"/>
      <c r="S23" s="269"/>
      <c r="T23" s="269"/>
      <c r="U23" s="269"/>
    </row>
    <row r="24" spans="2:21" ht="15" customHeight="1" x14ac:dyDescent="0.3">
      <c r="B24" s="20"/>
      <c r="C24" s="127"/>
      <c r="D24" s="127"/>
      <c r="E24" s="127"/>
      <c r="F24" s="127"/>
      <c r="G24" s="256"/>
      <c r="H24" s="16"/>
      <c r="I24" s="16"/>
      <c r="J24" s="16"/>
      <c r="K24" s="256"/>
      <c r="L24" s="256"/>
      <c r="M24" s="256"/>
    </row>
    <row r="25" spans="2:21" ht="15" customHeight="1" thickBot="1" x14ac:dyDescent="0.35">
      <c r="B25" s="268" t="s">
        <v>1364</v>
      </c>
      <c r="C25" s="256"/>
      <c r="D25" s="256"/>
      <c r="E25" s="256"/>
      <c r="F25" s="256"/>
      <c r="G25" s="127"/>
      <c r="H25" s="127"/>
      <c r="I25" s="127"/>
      <c r="J25" s="127"/>
      <c r="K25" s="127"/>
      <c r="L25" s="256"/>
      <c r="M25" s="256"/>
    </row>
    <row r="26" spans="2:21" ht="16.2" thickBot="1" x14ac:dyDescent="0.35">
      <c r="B26" s="381" t="s">
        <v>450</v>
      </c>
      <c r="C26" s="382"/>
      <c r="D26" s="382"/>
      <c r="E26" s="382"/>
      <c r="F26" s="382"/>
      <c r="G26" s="383"/>
      <c r="H26" s="381" t="s">
        <v>451</v>
      </c>
      <c r="I26" s="382"/>
      <c r="J26" s="382"/>
      <c r="K26" s="382"/>
      <c r="L26" s="382"/>
      <c r="M26" s="383"/>
    </row>
    <row r="27" spans="2:21" ht="15" customHeight="1" x14ac:dyDescent="0.3">
      <c r="B27" s="271"/>
      <c r="C27" s="256"/>
      <c r="D27" s="256"/>
      <c r="E27" s="256"/>
      <c r="F27" s="256"/>
      <c r="G27" s="272"/>
      <c r="H27" s="271"/>
      <c r="I27" s="256"/>
      <c r="J27" s="256"/>
      <c r="K27" s="256"/>
      <c r="L27" s="256"/>
      <c r="M27" s="272"/>
      <c r="N27" s="256"/>
      <c r="O27" s="273" t="s">
        <v>446</v>
      </c>
      <c r="S27" s="273" t="s">
        <v>449</v>
      </c>
    </row>
    <row r="28" spans="2:21" x14ac:dyDescent="0.3">
      <c r="B28" s="255"/>
      <c r="C28" s="256"/>
      <c r="D28" s="256"/>
      <c r="E28" s="256"/>
      <c r="F28" s="256"/>
      <c r="G28" s="257"/>
      <c r="H28" s="258"/>
      <c r="I28" s="259"/>
      <c r="J28" s="259"/>
      <c r="K28" s="259"/>
      <c r="L28" s="256"/>
      <c r="M28" s="272"/>
      <c r="O28" s="256" t="s">
        <v>415</v>
      </c>
      <c r="P28" s="274">
        <f>E47</f>
        <v>10959.91595458711</v>
      </c>
      <c r="S28" s="256" t="s">
        <v>415</v>
      </c>
      <c r="T28" s="274">
        <f>K47</f>
        <v>0.22025576639179376</v>
      </c>
    </row>
    <row r="29" spans="2:21" x14ac:dyDescent="0.3">
      <c r="B29" s="271"/>
      <c r="C29" s="15"/>
      <c r="D29" s="15"/>
      <c r="E29" s="256"/>
      <c r="F29" s="256"/>
      <c r="G29" s="272"/>
      <c r="H29" s="271"/>
      <c r="I29" s="256"/>
      <c r="J29" s="256"/>
      <c r="K29" s="256"/>
      <c r="L29" s="256"/>
      <c r="M29" s="272"/>
      <c r="O29" s="260" t="s">
        <v>279</v>
      </c>
      <c r="P29" s="275">
        <f>E50</f>
        <v>36010.082823190496</v>
      </c>
      <c r="S29" s="260" t="s">
        <v>279</v>
      </c>
      <c r="T29" s="275">
        <f>K50</f>
        <v>4.5999999999999996</v>
      </c>
    </row>
    <row r="30" spans="2:21" ht="17.399999999999999" x14ac:dyDescent="0.3">
      <c r="B30" s="271"/>
      <c r="C30" s="256"/>
      <c r="D30" s="256"/>
      <c r="E30" s="256"/>
      <c r="F30" s="256"/>
      <c r="G30" s="22"/>
      <c r="H30" s="136"/>
      <c r="I30" s="21"/>
      <c r="J30" s="21"/>
      <c r="K30" s="21"/>
      <c r="L30" s="21"/>
      <c r="M30" s="22"/>
      <c r="O30" s="256" t="s">
        <v>417</v>
      </c>
      <c r="P30" s="274">
        <f>E49</f>
        <v>72820.889195304291</v>
      </c>
      <c r="S30" s="256" t="s">
        <v>417</v>
      </c>
      <c r="T30" s="274">
        <f>K49</f>
        <v>14.060604869254236</v>
      </c>
    </row>
    <row r="31" spans="2:21" x14ac:dyDescent="0.3">
      <c r="B31" s="271"/>
      <c r="C31" s="256"/>
      <c r="D31" s="256"/>
      <c r="E31" s="256"/>
      <c r="F31" s="256"/>
      <c r="G31" s="272"/>
      <c r="H31" s="271"/>
      <c r="I31" s="256"/>
      <c r="J31" s="256"/>
      <c r="K31" s="256"/>
      <c r="L31" s="256"/>
      <c r="M31" s="272"/>
      <c r="O31" s="270" t="s">
        <v>281</v>
      </c>
      <c r="P31" s="275">
        <f>E51</f>
        <v>19474.738797859991</v>
      </c>
      <c r="S31" s="270" t="s">
        <v>281</v>
      </c>
      <c r="T31" s="275">
        <f>K51</f>
        <v>4.7627970945876639</v>
      </c>
    </row>
    <row r="32" spans="2:21" ht="15" customHeight="1" x14ac:dyDescent="0.3">
      <c r="B32" s="271"/>
      <c r="C32" s="256"/>
      <c r="D32" s="256"/>
      <c r="E32" s="256"/>
      <c r="F32" s="256"/>
      <c r="G32" s="272"/>
      <c r="H32" s="271"/>
      <c r="I32" s="256"/>
      <c r="J32" s="256"/>
      <c r="K32" s="256"/>
      <c r="L32" s="256"/>
      <c r="M32" s="272"/>
    </row>
    <row r="33" spans="2:21" x14ac:dyDescent="0.3">
      <c r="B33" s="271"/>
      <c r="C33" s="256"/>
      <c r="D33" s="256"/>
      <c r="E33" s="256"/>
      <c r="F33" s="256"/>
      <c r="G33" s="272"/>
      <c r="H33" s="271"/>
      <c r="I33" s="256"/>
      <c r="J33" s="256"/>
      <c r="K33" s="256"/>
      <c r="L33" s="256"/>
      <c r="M33" s="272"/>
      <c r="O33" s="270" t="s">
        <v>411</v>
      </c>
      <c r="P33" s="276">
        <f>IF(INT(MIN(0.9*P28,P29-3*P31))&lt;=0,0,INT(MIN(0.9*P28,P29-3*P31)))</f>
        <v>0</v>
      </c>
      <c r="S33" s="270" t="s">
        <v>411</v>
      </c>
      <c r="T33" s="276">
        <f>IF(INT(MIN(0.9*T28,T29-3*T31))&lt;=0,0,INT(MIN(0.9*T28,T29-3*T31)))</f>
        <v>0</v>
      </c>
      <c r="U33" s="277"/>
    </row>
    <row r="34" spans="2:21" x14ac:dyDescent="0.3">
      <c r="B34" s="271"/>
      <c r="C34" s="256"/>
      <c r="D34" s="256"/>
      <c r="E34" s="256"/>
      <c r="F34" s="256"/>
      <c r="G34" s="272"/>
      <c r="H34" s="271"/>
      <c r="I34" s="256"/>
      <c r="J34" s="256"/>
      <c r="K34" s="256"/>
      <c r="L34" s="256"/>
      <c r="M34" s="272"/>
      <c r="O34" s="270" t="s">
        <v>412</v>
      </c>
      <c r="P34" s="276">
        <f>ROUNDUP(MAX(1.1*P30,P29+3*P31),0)</f>
        <v>94435</v>
      </c>
      <c r="S34" s="270" t="s">
        <v>412</v>
      </c>
      <c r="T34" s="276">
        <f>ROUNDUP(MAX(1.1*T30,T29+3*T31),0)</f>
        <v>19</v>
      </c>
      <c r="U34" s="277"/>
    </row>
    <row r="35" spans="2:21" x14ac:dyDescent="0.3">
      <c r="B35" s="271"/>
      <c r="C35" s="256"/>
      <c r="D35" s="256"/>
      <c r="E35" s="256"/>
      <c r="F35" s="256"/>
      <c r="G35" s="272"/>
      <c r="H35" s="271"/>
      <c r="I35" s="256"/>
      <c r="J35" s="256"/>
      <c r="K35" s="256"/>
      <c r="L35" s="256"/>
      <c r="M35" s="272"/>
      <c r="O35" s="270" t="s">
        <v>413</v>
      </c>
      <c r="P35" s="276">
        <f>(P34-P33)/100</f>
        <v>944.35</v>
      </c>
      <c r="S35" s="270" t="s">
        <v>413</v>
      </c>
      <c r="T35" s="276">
        <f>(T34-T33)/100</f>
        <v>0.19</v>
      </c>
      <c r="U35" s="277"/>
    </row>
    <row r="36" spans="2:21" x14ac:dyDescent="0.3">
      <c r="B36" s="271"/>
      <c r="C36" s="256"/>
      <c r="D36" s="256"/>
      <c r="E36" s="256"/>
      <c r="F36" s="256"/>
      <c r="G36" s="272"/>
      <c r="H36" s="271"/>
      <c r="I36" s="256"/>
      <c r="J36" s="256"/>
      <c r="K36" s="270"/>
      <c r="L36" s="270"/>
      <c r="M36" s="272"/>
      <c r="O36" s="270" t="s">
        <v>420</v>
      </c>
      <c r="P36" s="275">
        <f>E44</f>
        <v>3.4190461078823828</v>
      </c>
      <c r="S36" s="270" t="s">
        <v>420</v>
      </c>
      <c r="T36" s="275">
        <f>K44</f>
        <v>0.93280637032789437</v>
      </c>
      <c r="U36" s="277"/>
    </row>
    <row r="37" spans="2:21" x14ac:dyDescent="0.3">
      <c r="B37" s="271"/>
      <c r="C37" s="256"/>
      <c r="D37" s="256"/>
      <c r="E37" s="256"/>
      <c r="F37" s="256"/>
      <c r="G37" s="272"/>
      <c r="H37" s="271"/>
      <c r="I37" s="256"/>
      <c r="J37" s="256"/>
      <c r="K37" s="270"/>
      <c r="L37" s="270"/>
      <c r="M37" s="272"/>
      <c r="O37" s="270" t="s">
        <v>421</v>
      </c>
      <c r="P37" s="275">
        <f>E45</f>
        <v>10532.201581070127</v>
      </c>
      <c r="S37" s="270" t="s">
        <v>421</v>
      </c>
      <c r="T37" s="275">
        <f>K45</f>
        <v>4.9313556878723244</v>
      </c>
      <c r="U37" s="277"/>
    </row>
    <row r="38" spans="2:21" x14ac:dyDescent="0.3">
      <c r="B38" s="271"/>
      <c r="C38" s="256"/>
      <c r="D38" s="256"/>
      <c r="E38" s="256"/>
      <c r="F38" s="256"/>
      <c r="G38" s="272"/>
      <c r="H38" s="271"/>
      <c r="I38" s="256"/>
      <c r="J38" s="256"/>
      <c r="K38" s="270"/>
      <c r="L38" s="270"/>
      <c r="M38" s="272"/>
    </row>
    <row r="39" spans="2:21" x14ac:dyDescent="0.3">
      <c r="B39" s="271"/>
      <c r="C39" s="256"/>
      <c r="D39" s="256"/>
      <c r="E39" s="256"/>
      <c r="F39" s="256"/>
      <c r="G39" s="272"/>
      <c r="H39" s="271"/>
      <c r="I39" s="256"/>
      <c r="J39" s="256"/>
      <c r="K39" s="270"/>
      <c r="L39" s="270"/>
      <c r="M39" s="272"/>
    </row>
    <row r="40" spans="2:21" x14ac:dyDescent="0.3">
      <c r="B40" s="271"/>
      <c r="C40" s="256"/>
      <c r="D40" s="256"/>
      <c r="E40" s="256"/>
      <c r="F40" s="256" t="s">
        <v>303</v>
      </c>
      <c r="G40" s="272"/>
      <c r="H40" s="271"/>
      <c r="I40" s="256"/>
      <c r="J40" s="256"/>
      <c r="K40" s="270"/>
      <c r="L40" s="270"/>
      <c r="M40" s="272"/>
      <c r="O40" s="273" t="s">
        <v>447</v>
      </c>
      <c r="S40" s="273" t="s">
        <v>447</v>
      </c>
    </row>
    <row r="41" spans="2:21" x14ac:dyDescent="0.3">
      <c r="B41" s="271"/>
      <c r="C41" s="256"/>
      <c r="D41" s="256"/>
      <c r="E41" s="256"/>
      <c r="F41" s="256"/>
      <c r="G41" s="272"/>
      <c r="H41" s="271"/>
      <c r="I41" s="256"/>
      <c r="J41" s="256"/>
      <c r="K41" s="256"/>
      <c r="L41" s="256"/>
      <c r="M41" s="272"/>
      <c r="O41" s="278">
        <v>0.05</v>
      </c>
      <c r="P41" s="275">
        <f>P28</f>
        <v>10959.91595458711</v>
      </c>
      <c r="Q41" s="260">
        <v>0</v>
      </c>
      <c r="S41" s="278">
        <v>0.05</v>
      </c>
      <c r="T41" s="275">
        <f>T28</f>
        <v>0.22025576639179376</v>
      </c>
      <c r="U41" s="260">
        <v>0</v>
      </c>
    </row>
    <row r="42" spans="2:21" x14ac:dyDescent="0.3">
      <c r="B42" s="271"/>
      <c r="C42" s="256"/>
      <c r="D42" s="256"/>
      <c r="E42" s="256"/>
      <c r="F42" s="256"/>
      <c r="G42" s="272"/>
      <c r="H42" s="271"/>
      <c r="I42" s="256"/>
      <c r="J42" s="256"/>
      <c r="K42" s="256"/>
      <c r="L42" s="256"/>
      <c r="M42" s="272"/>
      <c r="O42" s="278">
        <v>0.05</v>
      </c>
      <c r="P42" s="275">
        <f>P41</f>
        <v>10959.91595458711</v>
      </c>
      <c r="Q42" s="260">
        <f>1.02*MAX(Q52:Q151)</f>
        <v>2.4004311230467694E-5</v>
      </c>
      <c r="S42" s="278">
        <v>0.05</v>
      </c>
      <c r="T42" s="275">
        <f>T41</f>
        <v>0.22025576639179376</v>
      </c>
      <c r="U42" s="260">
        <f>1.02*MAX(U52:U151)</f>
        <v>0.23736395608339933</v>
      </c>
    </row>
    <row r="43" spans="2:21" ht="13.8" customHeight="1" x14ac:dyDescent="0.3">
      <c r="B43" s="348" t="s">
        <v>414</v>
      </c>
      <c r="C43" s="349"/>
      <c r="D43" s="349"/>
      <c r="E43" s="404" t="str">
        <f>Datos!W2</f>
        <v>Gamma</v>
      </c>
      <c r="F43" s="404"/>
      <c r="G43" s="405"/>
      <c r="H43" s="348" t="s">
        <v>414</v>
      </c>
      <c r="I43" s="349"/>
      <c r="J43" s="349"/>
      <c r="K43" s="408" t="str">
        <f>Datos!AJ2</f>
        <v>Gamma</v>
      </c>
      <c r="L43" s="408"/>
      <c r="M43" s="409"/>
      <c r="O43" s="279" t="s">
        <v>279</v>
      </c>
      <c r="P43" s="275">
        <f>P29</f>
        <v>36010.082823190496</v>
      </c>
      <c r="Q43" s="260">
        <v>0</v>
      </c>
      <c r="S43" s="279" t="s">
        <v>279</v>
      </c>
      <c r="T43" s="275">
        <f>T29</f>
        <v>4.5999999999999996</v>
      </c>
      <c r="U43" s="260">
        <v>0</v>
      </c>
    </row>
    <row r="44" spans="2:21" x14ac:dyDescent="0.3">
      <c r="B44" s="348" t="str">
        <f>IF(OR(E43="Gamma",E43="gamma"),"Parameter 1 (Shape)","Parameter 1 (Mean)")</f>
        <v>Parameter 1 (Shape)</v>
      </c>
      <c r="C44" s="349"/>
      <c r="D44" s="349"/>
      <c r="E44" s="406">
        <f>Datos!X2</f>
        <v>3.4190461078823828</v>
      </c>
      <c r="F44" s="406"/>
      <c r="G44" s="407"/>
      <c r="H44" s="348" t="str">
        <f>IF(OR(K43="Gamma",K43="gamma"),"Parameter 1 (Shape)","Parameter 1 (Mean)")</f>
        <v>Parameter 1 (Shape)</v>
      </c>
      <c r="I44" s="349"/>
      <c r="J44" s="349"/>
      <c r="K44" s="406">
        <f>Datos!AK2</f>
        <v>0.93280637032789437</v>
      </c>
      <c r="L44" s="406"/>
      <c r="M44" s="407"/>
      <c r="O44" s="279" t="s">
        <v>279</v>
      </c>
      <c r="P44" s="275">
        <f>P43</f>
        <v>36010.082823190496</v>
      </c>
      <c r="Q44" s="260">
        <f>Q42</f>
        <v>2.4004311230467694E-5</v>
      </c>
      <c r="S44" s="279" t="s">
        <v>279</v>
      </c>
      <c r="T44" s="275">
        <f>T43</f>
        <v>4.5999999999999996</v>
      </c>
      <c r="U44" s="260">
        <f>U42</f>
        <v>0.23736395608339933</v>
      </c>
    </row>
    <row r="45" spans="2:21" x14ac:dyDescent="0.3">
      <c r="B45" s="348" t="str">
        <f>IF(OR(E43="Gamma",E43="gamma"),"Parameter 2 (Scale)","Parameter 2 (Location)")</f>
        <v>Parameter 2 (Scale)</v>
      </c>
      <c r="C45" s="349"/>
      <c r="D45" s="349"/>
      <c r="E45" s="406">
        <f>Datos!Z2</f>
        <v>10532.201581070127</v>
      </c>
      <c r="F45" s="406"/>
      <c r="G45" s="407"/>
      <c r="H45" s="348" t="str">
        <f>IF(OR(K43="Gamma",K43="gamma"),"Parameter 2 (Scale)","Parameter 2 (Location)")</f>
        <v>Parameter 2 (Scale)</v>
      </c>
      <c r="I45" s="349"/>
      <c r="J45" s="349"/>
      <c r="K45" s="406">
        <f>Datos!AM2</f>
        <v>4.9313556878723244</v>
      </c>
      <c r="L45" s="406"/>
      <c r="M45" s="407"/>
      <c r="O45" s="278">
        <v>0.95</v>
      </c>
      <c r="P45" s="275">
        <f>P30</f>
        <v>72820.889195304291</v>
      </c>
      <c r="Q45" s="260">
        <v>0</v>
      </c>
      <c r="S45" s="278">
        <v>0.95</v>
      </c>
      <c r="T45" s="275">
        <f>T30</f>
        <v>14.060604869254236</v>
      </c>
      <c r="U45" s="260">
        <v>0</v>
      </c>
    </row>
    <row r="46" spans="2:21" x14ac:dyDescent="0.3">
      <c r="B46" s="348" t="str">
        <f>IF(OR(E43="Gamma",E43="gamma"),"Parameter 3 (Location)","")</f>
        <v>Parameter 3 (Location)</v>
      </c>
      <c r="C46" s="349"/>
      <c r="D46" s="349"/>
      <c r="E46" s="406">
        <f>Datos!AB2</f>
        <v>0</v>
      </c>
      <c r="F46" s="406"/>
      <c r="G46" s="407"/>
      <c r="H46" s="348" t="str">
        <f>IF(OR(K43="Gamma",K43="gamma"),"Parameter 3 (Location)","")</f>
        <v>Parameter 3 (Location)</v>
      </c>
      <c r="I46" s="349"/>
      <c r="J46" s="349"/>
      <c r="K46" s="406">
        <f>Datos!AO2</f>
        <v>0</v>
      </c>
      <c r="L46" s="406"/>
      <c r="M46" s="407"/>
      <c r="O46" s="278">
        <v>0.95</v>
      </c>
      <c r="P46" s="275">
        <f>P45</f>
        <v>72820.889195304291</v>
      </c>
      <c r="Q46" s="260">
        <f>Q42</f>
        <v>2.4004311230467694E-5</v>
      </c>
      <c r="S46" s="278">
        <v>0.95</v>
      </c>
      <c r="T46" s="275">
        <f>T45</f>
        <v>14.060604869254236</v>
      </c>
      <c r="U46" s="260">
        <f>U42</f>
        <v>0.23736395608339933</v>
      </c>
    </row>
    <row r="47" spans="2:21" x14ac:dyDescent="0.3">
      <c r="B47" s="348" t="s">
        <v>415</v>
      </c>
      <c r="C47" s="349"/>
      <c r="D47" s="349"/>
      <c r="E47" s="406">
        <f>Datos!AD2</f>
        <v>10959.91595458711</v>
      </c>
      <c r="F47" s="406"/>
      <c r="G47" s="407"/>
      <c r="H47" s="348" t="s">
        <v>415</v>
      </c>
      <c r="I47" s="349"/>
      <c r="J47" s="349"/>
      <c r="K47" s="406">
        <f>Datos!AQ2</f>
        <v>0.22025576639179376</v>
      </c>
      <c r="L47" s="406"/>
      <c r="M47" s="407"/>
    </row>
    <row r="48" spans="2:21" x14ac:dyDescent="0.3">
      <c r="B48" s="348" t="s">
        <v>416</v>
      </c>
      <c r="C48" s="349"/>
      <c r="D48" s="349"/>
      <c r="E48" s="406">
        <f>Datos!AE2</f>
        <v>32567.028682460957</v>
      </c>
      <c r="F48" s="406"/>
      <c r="G48" s="407"/>
      <c r="H48" s="348" t="s">
        <v>416</v>
      </c>
      <c r="I48" s="349"/>
      <c r="J48" s="349"/>
      <c r="K48" s="406">
        <f>Datos!AR2</f>
        <v>3.1095445737748997</v>
      </c>
      <c r="L48" s="406"/>
      <c r="M48" s="407"/>
    </row>
    <row r="49" spans="2:21" x14ac:dyDescent="0.3">
      <c r="B49" s="348" t="s">
        <v>417</v>
      </c>
      <c r="C49" s="349"/>
      <c r="D49" s="349"/>
      <c r="E49" s="406">
        <f>Datos!AF2</f>
        <v>72820.889195304291</v>
      </c>
      <c r="F49" s="406"/>
      <c r="G49" s="407"/>
      <c r="H49" s="348" t="s">
        <v>417</v>
      </c>
      <c r="I49" s="349"/>
      <c r="J49" s="349"/>
      <c r="K49" s="406">
        <f>Datos!AS2</f>
        <v>14.060604869254236</v>
      </c>
      <c r="L49" s="406"/>
      <c r="M49" s="407"/>
      <c r="O49" s="273" t="s">
        <v>448</v>
      </c>
      <c r="S49" s="273" t="s">
        <v>448</v>
      </c>
    </row>
    <row r="50" spans="2:21" x14ac:dyDescent="0.3">
      <c r="B50" s="348" t="s">
        <v>300</v>
      </c>
      <c r="C50" s="349"/>
      <c r="D50" s="349"/>
      <c r="E50" s="406">
        <f>Datos!AG2</f>
        <v>36010.082823190496</v>
      </c>
      <c r="F50" s="406"/>
      <c r="G50" s="407"/>
      <c r="H50" s="348" t="s">
        <v>300</v>
      </c>
      <c r="I50" s="349"/>
      <c r="J50" s="349"/>
      <c r="K50" s="406">
        <f>Datos!AT2</f>
        <v>4.5999999999999996</v>
      </c>
      <c r="L50" s="406"/>
      <c r="M50" s="407"/>
      <c r="P50" s="280" t="s">
        <v>409</v>
      </c>
      <c r="Q50" s="280" t="s">
        <v>410</v>
      </c>
      <c r="T50" s="280" t="s">
        <v>409</v>
      </c>
      <c r="U50" s="280" t="s">
        <v>410</v>
      </c>
    </row>
    <row r="51" spans="2:21" x14ac:dyDescent="0.3">
      <c r="B51" s="348" t="s">
        <v>418</v>
      </c>
      <c r="C51" s="349"/>
      <c r="D51" s="349"/>
      <c r="E51" s="406">
        <f>Datos!AH2</f>
        <v>19474.738797859991</v>
      </c>
      <c r="F51" s="406"/>
      <c r="G51" s="407"/>
      <c r="H51" s="348" t="s">
        <v>418</v>
      </c>
      <c r="I51" s="349"/>
      <c r="J51" s="349"/>
      <c r="K51" s="406">
        <f>Datos!AU2</f>
        <v>4.7627970945876639</v>
      </c>
      <c r="L51" s="406"/>
      <c r="M51" s="407"/>
      <c r="O51" s="281">
        <v>1</v>
      </c>
      <c r="P51" s="276">
        <f>P33</f>
        <v>0</v>
      </c>
      <c r="Q51" s="282">
        <f>IF($E$43="Gamma",IF(ISERROR(GAMMADIST($P51,$P$36,$P$37,0)),"",GAMMADIST($P51,$P$36,$P$37,0)),IF(ISERROR(EXPONDIST($P51,1/$P$36,0)),"",EXPONDIST($P51,1/$P$36,0)))</f>
        <v>0</v>
      </c>
      <c r="S51" s="281">
        <v>1</v>
      </c>
      <c r="T51" s="276">
        <f>T33</f>
        <v>0</v>
      </c>
      <c r="U51" s="283" t="str">
        <f>IF($K$43="Gamma",IF(ISERROR(GAMMADIST($T51,$T$36,$T$37,0)),"",GAMMADIST($T51,$T$36,$T$37,0)),IF(ISERROR(EXPONDIST($T51,1/$T$36,0)),"",EXPONDIST($T51,1/$T$36,0)))</f>
        <v/>
      </c>
    </row>
    <row r="52" spans="2:21" ht="14.4" thickBot="1" x14ac:dyDescent="0.35">
      <c r="B52" s="350" t="s">
        <v>304</v>
      </c>
      <c r="C52" s="351"/>
      <c r="D52" s="351"/>
      <c r="E52" s="379">
        <f>Datos!AI2</f>
        <v>379265451.24487323</v>
      </c>
      <c r="F52" s="379"/>
      <c r="G52" s="380"/>
      <c r="H52" s="350" t="s">
        <v>304</v>
      </c>
      <c r="I52" s="351"/>
      <c r="J52" s="351"/>
      <c r="K52" s="379">
        <f>Datos!AV2</f>
        <v>22.684236164212692</v>
      </c>
      <c r="L52" s="379"/>
      <c r="M52" s="380"/>
      <c r="O52" s="281">
        <v>2</v>
      </c>
      <c r="P52" s="276">
        <f t="shared" ref="P52:P83" si="0">P51+$P$35</f>
        <v>944.35</v>
      </c>
      <c r="Q52" s="282">
        <f t="shared" ref="Q52:Q115" si="1">IF($E$43="Gamma",IF(ISERROR(GAMMADIST($P52,$P$36,$P$37,0)),"",GAMMADIST($P52,$P$36,$P$37,0)),IF(ISERROR(EXPONDIST($P52,1/$P$36,0)),"",EXPONDIST($P52,1/$P$36,0)))</f>
        <v>8.3483227524810719E-8</v>
      </c>
      <c r="S52" s="281">
        <v>2</v>
      </c>
      <c r="T52" s="276">
        <f>T51+$T$35</f>
        <v>0.19</v>
      </c>
      <c r="U52" s="283">
        <f t="shared" ref="U52:U115" si="2">IF($K$43="Gamma",IF(ISERROR(GAMMADIST($T52,$T$36,$T$37,0)),"",GAMMADIST($T52,$T$36,$T$37,0)),IF(ISERROR(EXPONDIST($T52,1/$T$36,0)),"",EXPONDIST($T52,1/$T$36,0)))</f>
        <v>0.23270976086607778</v>
      </c>
    </row>
    <row r="53" spans="2:21" x14ac:dyDescent="0.3">
      <c r="O53" s="281">
        <v>3</v>
      </c>
      <c r="P53" s="276">
        <f t="shared" si="0"/>
        <v>1888.7</v>
      </c>
      <c r="Q53" s="282">
        <f t="shared" si="1"/>
        <v>4.0819198621870137E-7</v>
      </c>
      <c r="S53" s="281">
        <v>3</v>
      </c>
      <c r="T53" s="276">
        <f t="shared" ref="T53:T116" si="3">T52+$T$35</f>
        <v>0.38</v>
      </c>
      <c r="U53" s="283">
        <f t="shared" si="2"/>
        <v>0.21372453833740115</v>
      </c>
    </row>
    <row r="54" spans="2:21" ht="16.2" thickBot="1" x14ac:dyDescent="0.35">
      <c r="B54" s="317" t="s">
        <v>1295</v>
      </c>
      <c r="C54" s="317"/>
      <c r="D54" s="254"/>
      <c r="N54" s="256"/>
      <c r="O54" s="281">
        <v>4</v>
      </c>
      <c r="P54" s="276">
        <f t="shared" si="0"/>
        <v>2833.05</v>
      </c>
      <c r="Q54" s="282">
        <f t="shared" si="1"/>
        <v>9.9516971951100372E-7</v>
      </c>
      <c r="S54" s="281">
        <v>4</v>
      </c>
      <c r="T54" s="276">
        <f t="shared" si="3"/>
        <v>0.57000000000000006</v>
      </c>
      <c r="U54" s="283">
        <f t="shared" si="2"/>
        <v>0.20011943248423938</v>
      </c>
    </row>
    <row r="55" spans="2:21" ht="13.05" customHeight="1" x14ac:dyDescent="0.3">
      <c r="B55" s="308">
        <f>Datos!AW2</f>
        <v>0</v>
      </c>
      <c r="C55" s="309"/>
      <c r="D55" s="309"/>
      <c r="E55" s="309"/>
      <c r="F55" s="309"/>
      <c r="G55" s="309"/>
      <c r="H55" s="309"/>
      <c r="I55" s="309"/>
      <c r="J55" s="309"/>
      <c r="K55" s="309"/>
      <c r="L55" s="309"/>
      <c r="M55" s="310"/>
      <c r="N55" s="256"/>
      <c r="O55" s="281">
        <v>5</v>
      </c>
      <c r="P55" s="276">
        <f t="shared" si="0"/>
        <v>3777.4</v>
      </c>
      <c r="Q55" s="282">
        <f t="shared" si="1"/>
        <v>1.8246918050424102E-6</v>
      </c>
      <c r="S55" s="281">
        <v>5</v>
      </c>
      <c r="T55" s="276">
        <f t="shared" si="3"/>
        <v>0.76</v>
      </c>
      <c r="U55" s="283">
        <f t="shared" si="2"/>
        <v>0.18886925238166544</v>
      </c>
    </row>
    <row r="56" spans="2:21" ht="13.05" customHeight="1" x14ac:dyDescent="0.3">
      <c r="B56" s="311"/>
      <c r="C56" s="312"/>
      <c r="D56" s="312"/>
      <c r="E56" s="312"/>
      <c r="F56" s="312"/>
      <c r="G56" s="312"/>
      <c r="H56" s="312"/>
      <c r="I56" s="312"/>
      <c r="J56" s="312"/>
      <c r="K56" s="312"/>
      <c r="L56" s="312"/>
      <c r="M56" s="313"/>
      <c r="N56" s="256"/>
      <c r="O56" s="281">
        <v>6</v>
      </c>
      <c r="P56" s="276">
        <f t="shared" si="0"/>
        <v>4721.75</v>
      </c>
      <c r="Q56" s="282">
        <f t="shared" si="1"/>
        <v>2.8620625129001598E-6</v>
      </c>
      <c r="S56" s="281">
        <v>6</v>
      </c>
      <c r="T56" s="276">
        <f t="shared" si="3"/>
        <v>0.95</v>
      </c>
      <c r="U56" s="283">
        <f t="shared" si="2"/>
        <v>0.17902620743935199</v>
      </c>
    </row>
    <row r="57" spans="2:21" ht="13.05" customHeight="1" x14ac:dyDescent="0.3">
      <c r="B57" s="311"/>
      <c r="C57" s="312"/>
      <c r="D57" s="312"/>
      <c r="E57" s="312"/>
      <c r="F57" s="312"/>
      <c r="G57" s="312"/>
      <c r="H57" s="312"/>
      <c r="I57" s="312"/>
      <c r="J57" s="312"/>
      <c r="K57" s="312"/>
      <c r="L57" s="312"/>
      <c r="M57" s="313"/>
      <c r="N57" s="256"/>
      <c r="O57" s="281">
        <v>7</v>
      </c>
      <c r="P57" s="276">
        <f t="shared" si="0"/>
        <v>5666.1</v>
      </c>
      <c r="Q57" s="282">
        <f t="shared" si="1"/>
        <v>4.0670733443205768E-6</v>
      </c>
      <c r="S57" s="281">
        <v>7</v>
      </c>
      <c r="T57" s="276">
        <f t="shared" si="3"/>
        <v>1.1399999999999999</v>
      </c>
      <c r="U57" s="283">
        <f t="shared" si="2"/>
        <v>0.17016225098745402</v>
      </c>
    </row>
    <row r="58" spans="2:21" ht="13.05" customHeight="1" x14ac:dyDescent="0.3">
      <c r="B58" s="311"/>
      <c r="C58" s="312"/>
      <c r="D58" s="312"/>
      <c r="E58" s="312"/>
      <c r="F58" s="312"/>
      <c r="G58" s="312"/>
      <c r="H58" s="312"/>
      <c r="I58" s="312"/>
      <c r="J58" s="312"/>
      <c r="K58" s="312"/>
      <c r="L58" s="312"/>
      <c r="M58" s="313"/>
      <c r="O58" s="281">
        <v>8</v>
      </c>
      <c r="P58" s="276">
        <f t="shared" si="0"/>
        <v>6610.4500000000007</v>
      </c>
      <c r="Q58" s="282">
        <f t="shared" si="1"/>
        <v>5.3986998063943362E-6</v>
      </c>
      <c r="S58" s="281">
        <v>8</v>
      </c>
      <c r="T58" s="276">
        <f t="shared" si="3"/>
        <v>1.3299999999999998</v>
      </c>
      <c r="U58" s="283">
        <f t="shared" si="2"/>
        <v>0.16204361007326556</v>
      </c>
    </row>
    <row r="59" spans="2:21" ht="13.05" customHeight="1" x14ac:dyDescent="0.3">
      <c r="B59" s="311"/>
      <c r="C59" s="312"/>
      <c r="D59" s="312"/>
      <c r="E59" s="312"/>
      <c r="F59" s="312"/>
      <c r="G59" s="312"/>
      <c r="H59" s="312"/>
      <c r="I59" s="312"/>
      <c r="J59" s="312"/>
      <c r="K59" s="312"/>
      <c r="L59" s="312"/>
      <c r="M59" s="313"/>
      <c r="O59" s="281">
        <v>9</v>
      </c>
      <c r="P59" s="276">
        <f t="shared" si="0"/>
        <v>7554.8000000000011</v>
      </c>
      <c r="Q59" s="282">
        <f t="shared" si="1"/>
        <v>6.8176417577844071E-6</v>
      </c>
      <c r="S59" s="281">
        <v>9</v>
      </c>
      <c r="T59" s="276">
        <f t="shared" si="3"/>
        <v>1.5199999999999998</v>
      </c>
      <c r="U59" s="283">
        <f t="shared" si="2"/>
        <v>0.1545262645949505</v>
      </c>
    </row>
    <row r="60" spans="2:21" ht="13.05" customHeight="1" thickBot="1" x14ac:dyDescent="0.35">
      <c r="B60" s="314"/>
      <c r="C60" s="315"/>
      <c r="D60" s="315"/>
      <c r="E60" s="315"/>
      <c r="F60" s="315"/>
      <c r="G60" s="315"/>
      <c r="H60" s="315"/>
      <c r="I60" s="315"/>
      <c r="J60" s="315"/>
      <c r="K60" s="315"/>
      <c r="L60" s="315"/>
      <c r="M60" s="316"/>
      <c r="O60" s="281">
        <v>10</v>
      </c>
      <c r="P60" s="276">
        <f t="shared" si="0"/>
        <v>8499.1500000000015</v>
      </c>
      <c r="Q60" s="282">
        <f t="shared" si="1"/>
        <v>8.2877051377088977E-6</v>
      </c>
      <c r="S60" s="281">
        <v>10</v>
      </c>
      <c r="T60" s="276">
        <f t="shared" si="3"/>
        <v>1.7099999999999997</v>
      </c>
      <c r="U60" s="283">
        <f t="shared" si="2"/>
        <v>0.14751367020100217</v>
      </c>
    </row>
    <row r="61" spans="2:21" x14ac:dyDescent="0.3">
      <c r="O61" s="281">
        <v>11</v>
      </c>
      <c r="P61" s="276">
        <f t="shared" si="0"/>
        <v>9443.5000000000018</v>
      </c>
      <c r="Q61" s="282">
        <f t="shared" si="1"/>
        <v>9.776503828101429E-6</v>
      </c>
      <c r="S61" s="281">
        <v>11</v>
      </c>
      <c r="T61" s="276">
        <f t="shared" si="3"/>
        <v>1.8999999999999997</v>
      </c>
      <c r="U61" s="283">
        <f t="shared" si="2"/>
        <v>0.14093690903221279</v>
      </c>
    </row>
    <row r="62" spans="2:21" x14ac:dyDescent="0.3">
      <c r="O62" s="281">
        <v>12</v>
      </c>
      <c r="P62" s="276">
        <f t="shared" si="0"/>
        <v>10387.850000000002</v>
      </c>
      <c r="Q62" s="282">
        <f t="shared" si="1"/>
        <v>1.1255743627028639E-5</v>
      </c>
      <c r="S62" s="281">
        <v>12</v>
      </c>
      <c r="T62" s="276">
        <f t="shared" si="3"/>
        <v>2.09</v>
      </c>
      <c r="U62" s="283">
        <f t="shared" si="2"/>
        <v>0.13474433133218447</v>
      </c>
    </row>
    <row r="63" spans="2:21" x14ac:dyDescent="0.3">
      <c r="O63" s="281">
        <v>13</v>
      </c>
      <c r="P63" s="276">
        <f t="shared" si="0"/>
        <v>11332.200000000003</v>
      </c>
      <c r="Q63" s="282">
        <f t="shared" si="1"/>
        <v>1.270124424850289E-5</v>
      </c>
      <c r="S63" s="281">
        <v>13</v>
      </c>
      <c r="T63" s="276">
        <f t="shared" si="3"/>
        <v>2.2799999999999998</v>
      </c>
      <c r="U63" s="283">
        <f t="shared" si="2"/>
        <v>0.12889570279134371</v>
      </c>
    </row>
    <row r="64" spans="2:21" x14ac:dyDescent="0.3">
      <c r="O64" s="281">
        <v>14</v>
      </c>
      <c r="P64" s="276">
        <f t="shared" si="0"/>
        <v>12276.550000000003</v>
      </c>
      <c r="Q64" s="282">
        <f t="shared" si="1"/>
        <v>1.4092797434170713E-5</v>
      </c>
      <c r="S64" s="281">
        <v>14</v>
      </c>
      <c r="T64" s="276">
        <f t="shared" si="3"/>
        <v>2.4699999999999998</v>
      </c>
      <c r="U64" s="283">
        <f t="shared" si="2"/>
        <v>0.12335868538472063</v>
      </c>
    </row>
    <row r="65" spans="15:21" x14ac:dyDescent="0.3">
      <c r="O65" s="281">
        <v>15</v>
      </c>
      <c r="P65" s="276">
        <f t="shared" si="0"/>
        <v>13220.900000000003</v>
      </c>
      <c r="Q65" s="282">
        <f t="shared" si="1"/>
        <v>1.5413925180531351E-5</v>
      </c>
      <c r="S65" s="281">
        <v>15</v>
      </c>
      <c r="T65" s="276">
        <f t="shared" si="3"/>
        <v>2.6599999999999997</v>
      </c>
      <c r="U65" s="283">
        <f t="shared" si="2"/>
        <v>0.11810661229765655</v>
      </c>
    </row>
    <row r="66" spans="15:21" x14ac:dyDescent="0.3">
      <c r="O66" s="281">
        <v>16</v>
      </c>
      <c r="P66" s="276">
        <f t="shared" si="0"/>
        <v>14165.250000000004</v>
      </c>
      <c r="Q66" s="282">
        <f t="shared" si="1"/>
        <v>1.6651580814619711E-5</v>
      </c>
      <c r="S66" s="281">
        <v>16</v>
      </c>
      <c r="T66" s="276">
        <f t="shared" si="3"/>
        <v>2.8499999999999996</v>
      </c>
      <c r="U66" s="283">
        <f t="shared" si="2"/>
        <v>0.11311702138929695</v>
      </c>
    </row>
    <row r="67" spans="15:21" x14ac:dyDescent="0.3">
      <c r="O67" s="281">
        <v>17</v>
      </c>
      <c r="P67" s="276">
        <f t="shared" si="0"/>
        <v>15109.600000000004</v>
      </c>
      <c r="Q67" s="282">
        <f t="shared" si="1"/>
        <v>1.7795821797298063E-5</v>
      </c>
      <c r="S67" s="281">
        <v>17</v>
      </c>
      <c r="T67" s="276">
        <f t="shared" si="3"/>
        <v>3.0399999999999996</v>
      </c>
      <c r="U67" s="283">
        <f t="shared" si="2"/>
        <v>0.10837065414271267</v>
      </c>
    </row>
    <row r="68" spans="15:21" x14ac:dyDescent="0.3">
      <c r="O68" s="281">
        <v>18</v>
      </c>
      <c r="P68" s="276">
        <f t="shared" si="0"/>
        <v>16053.950000000004</v>
      </c>
      <c r="Q68" s="282">
        <f t="shared" si="1"/>
        <v>1.8839473819393911E-5</v>
      </c>
      <c r="S68" s="281">
        <v>18</v>
      </c>
      <c r="T68" s="276">
        <f t="shared" si="3"/>
        <v>3.2299999999999995</v>
      </c>
      <c r="U68" s="283">
        <f t="shared" si="2"/>
        <v>0.10385075152676665</v>
      </c>
    </row>
    <row r="69" spans="15:21" x14ac:dyDescent="0.3">
      <c r="O69" s="281">
        <v>19</v>
      </c>
      <c r="P69" s="276">
        <f t="shared" si="0"/>
        <v>16998.300000000003</v>
      </c>
      <c r="Q69" s="282">
        <f t="shared" si="1"/>
        <v>1.9777799346967944E-5</v>
      </c>
      <c r="S69" s="281">
        <v>19</v>
      </c>
      <c r="T69" s="276">
        <f t="shared" si="3"/>
        <v>3.4199999999999995</v>
      </c>
      <c r="U69" s="283">
        <f t="shared" si="2"/>
        <v>9.9542545614290948E-2</v>
      </c>
    </row>
    <row r="70" spans="15:21" x14ac:dyDescent="0.3">
      <c r="O70" s="281">
        <v>20</v>
      </c>
      <c r="P70" s="276">
        <f t="shared" si="0"/>
        <v>17942.650000000001</v>
      </c>
      <c r="Q70" s="282">
        <f t="shared" si="1"/>
        <v>2.0608179289081309E-5</v>
      </c>
      <c r="S70" s="281">
        <v>20</v>
      </c>
      <c r="T70" s="276">
        <f t="shared" si="3"/>
        <v>3.6099999999999994</v>
      </c>
      <c r="U70" s="283">
        <f t="shared" si="2"/>
        <v>9.543288401821591E-2</v>
      </c>
    </row>
    <row r="71" spans="15:21" x14ac:dyDescent="0.3">
      <c r="O71" s="281">
        <v>21</v>
      </c>
      <c r="P71" s="276">
        <f t="shared" si="0"/>
        <v>18887</v>
      </c>
      <c r="Q71" s="282">
        <f t="shared" si="1"/>
        <v>2.132981329235416E-5</v>
      </c>
      <c r="S71" s="281">
        <v>21</v>
      </c>
      <c r="T71" s="276">
        <f t="shared" si="3"/>
        <v>3.7999999999999994</v>
      </c>
      <c r="U71" s="283">
        <f t="shared" si="2"/>
        <v>9.1509946735560843E-2</v>
      </c>
    </row>
    <row r="72" spans="15:21" x14ac:dyDescent="0.3">
      <c r="O72" s="281">
        <v>22</v>
      </c>
      <c r="P72" s="276">
        <f t="shared" si="0"/>
        <v>19831.349999999999</v>
      </c>
      <c r="Q72" s="282">
        <f t="shared" si="1"/>
        <v>2.1943441914271727E-5</v>
      </c>
      <c r="S72" s="281">
        <v>22</v>
      </c>
      <c r="T72" s="276">
        <f t="shared" si="3"/>
        <v>3.9899999999999993</v>
      </c>
      <c r="U72" s="283">
        <f t="shared" si="2"/>
        <v>8.7763028728975928E-2</v>
      </c>
    </row>
    <row r="73" spans="15:21" x14ac:dyDescent="0.3">
      <c r="O73" s="281">
        <v>23</v>
      </c>
      <c r="P73" s="276">
        <f t="shared" si="0"/>
        <v>20775.699999999997</v>
      </c>
      <c r="Q73" s="282">
        <f t="shared" si="1"/>
        <v>2.2451092325998286E-5</v>
      </c>
      <c r="S73" s="281">
        <v>23</v>
      </c>
      <c r="T73" s="276">
        <f t="shared" si="3"/>
        <v>4.18</v>
      </c>
      <c r="U73" s="283">
        <f t="shared" si="2"/>
        <v>8.4182370209547983E-2</v>
      </c>
    </row>
    <row r="74" spans="15:21" x14ac:dyDescent="0.3">
      <c r="O74" s="281">
        <v>24</v>
      </c>
      <c r="P74" s="276">
        <f t="shared" si="0"/>
        <v>21720.049999999996</v>
      </c>
      <c r="Q74" s="282">
        <f t="shared" si="1"/>
        <v>2.2855848063115705E-5</v>
      </c>
      <c r="S74" s="281">
        <v>24</v>
      </c>
      <c r="T74" s="276">
        <f t="shared" si="3"/>
        <v>4.37</v>
      </c>
      <c r="U74" s="283">
        <f t="shared" si="2"/>
        <v>8.0759022155733731E-2</v>
      </c>
    </row>
    <row r="75" spans="15:21" x14ac:dyDescent="0.3">
      <c r="O75" s="281">
        <v>25</v>
      </c>
      <c r="P75" s="276">
        <f t="shared" si="0"/>
        <v>22664.399999999994</v>
      </c>
      <c r="Q75" s="282">
        <f t="shared" si="1"/>
        <v>2.31616425513631E-5</v>
      </c>
      <c r="S75" s="281">
        <v>25</v>
      </c>
      <c r="T75" s="276">
        <f t="shared" si="3"/>
        <v>4.5600000000000005</v>
      </c>
      <c r="U75" s="283">
        <f t="shared" si="2"/>
        <v>7.7484738284030408E-2</v>
      </c>
    </row>
    <row r="76" spans="15:21" x14ac:dyDescent="0.3">
      <c r="O76" s="281">
        <v>26</v>
      </c>
      <c r="P76" s="276">
        <f t="shared" si="0"/>
        <v>23608.749999999993</v>
      </c>
      <c r="Q76" s="282">
        <f t="shared" si="1"/>
        <v>2.337307559282088E-5</v>
      </c>
      <c r="S76" s="281">
        <v>26</v>
      </c>
      <c r="T76" s="276">
        <f t="shared" si="3"/>
        <v>4.7500000000000009</v>
      </c>
      <c r="U76" s="283">
        <f t="shared" si="2"/>
        <v>7.4351887170947858E-2</v>
      </c>
    </row>
    <row r="77" spans="15:21" x14ac:dyDescent="0.3">
      <c r="O77" s="281">
        <v>27</v>
      </c>
      <c r="P77" s="276">
        <f t="shared" si="0"/>
        <v>24553.099999999991</v>
      </c>
      <c r="Q77" s="282">
        <f t="shared" si="1"/>
        <v>2.3495251639883248E-5</v>
      </c>
      <c r="S77" s="281">
        <v>27</v>
      </c>
      <c r="T77" s="276">
        <f t="shared" si="3"/>
        <v>4.9400000000000013</v>
      </c>
      <c r="U77" s="283">
        <f t="shared" si="2"/>
        <v>7.1353379934588096E-2</v>
      </c>
    </row>
    <row r="78" spans="15:21" x14ac:dyDescent="0.3">
      <c r="O78" s="281">
        <v>28</v>
      </c>
      <c r="P78" s="276">
        <f t="shared" si="0"/>
        <v>25497.44999999999</v>
      </c>
      <c r="Q78" s="282">
        <f t="shared" si="1"/>
        <v>2.3533638461242835E-5</v>
      </c>
      <c r="S78" s="281">
        <v>28</v>
      </c>
      <c r="T78" s="276">
        <f t="shared" si="3"/>
        <v>5.1300000000000017</v>
      </c>
      <c r="U78" s="283">
        <f t="shared" si="2"/>
        <v>6.8482610080252387E-2</v>
      </c>
    </row>
    <row r="79" spans="15:21" x14ac:dyDescent="0.3">
      <c r="O79" s="281">
        <v>29</v>
      </c>
      <c r="P79" s="276">
        <f t="shared" si="0"/>
        <v>26441.799999999988</v>
      </c>
      <c r="Q79" s="282">
        <f t="shared" si="1"/>
        <v>2.3493944680004619E-5</v>
      </c>
      <c r="S79" s="281">
        <v>29</v>
      </c>
      <c r="T79" s="276">
        <f t="shared" si="3"/>
        <v>5.3200000000000021</v>
      </c>
      <c r="U79" s="283">
        <f t="shared" si="2"/>
        <v>6.5733402965183985E-2</v>
      </c>
    </row>
    <row r="80" spans="15:21" x14ac:dyDescent="0.3">
      <c r="O80" s="281">
        <v>30</v>
      </c>
      <c r="P80" s="276">
        <f t="shared" si="0"/>
        <v>27386.149999999987</v>
      </c>
      <c r="Q80" s="282">
        <f t="shared" si="1"/>
        <v>2.3382014612104089E-5</v>
      </c>
      <c r="S80" s="281">
        <v>30</v>
      </c>
      <c r="T80" s="276">
        <f t="shared" si="3"/>
        <v>5.5100000000000025</v>
      </c>
      <c r="U80" s="283">
        <f t="shared" si="2"/>
        <v>6.3099972951449534E-2</v>
      </c>
    </row>
    <row r="81" spans="15:21" x14ac:dyDescent="0.3">
      <c r="O81" s="281">
        <v>31</v>
      </c>
      <c r="P81" s="276">
        <f t="shared" si="0"/>
        <v>28330.499999999985</v>
      </c>
      <c r="Q81" s="282">
        <f t="shared" si="1"/>
        <v>2.3203738833284427E-5</v>
      </c>
      <c r="S81" s="281">
        <v>31</v>
      </c>
      <c r="T81" s="276">
        <f t="shared" si="3"/>
        <v>5.7000000000000028</v>
      </c>
      <c r="U81" s="283">
        <f t="shared" si="2"/>
        <v>6.0576886764954582E-2</v>
      </c>
    </row>
    <row r="82" spans="15:21" x14ac:dyDescent="0.3">
      <c r="O82" s="281">
        <v>32</v>
      </c>
      <c r="P82" s="276">
        <f t="shared" si="0"/>
        <v>29274.849999999984</v>
      </c>
      <c r="Q82" s="282">
        <f t="shared" si="1"/>
        <v>2.296497893982146E-5</v>
      </c>
      <c r="S82" s="281">
        <v>32</v>
      </c>
      <c r="T82" s="276">
        <f t="shared" si="3"/>
        <v>5.8900000000000032</v>
      </c>
      <c r="U82" s="283">
        <f t="shared" si="2"/>
        <v>5.815903191106634E-2</v>
      </c>
    </row>
    <row r="83" spans="15:21" x14ac:dyDescent="0.3">
      <c r="O83" s="281">
        <v>33</v>
      </c>
      <c r="P83" s="276">
        <f t="shared" si="0"/>
        <v>30219.199999999983</v>
      </c>
      <c r="Q83" s="282">
        <f t="shared" si="1"/>
        <v>2.2671505030537711E-5</v>
      </c>
      <c r="S83" s="281">
        <v>33</v>
      </c>
      <c r="T83" s="276">
        <f t="shared" si="3"/>
        <v>6.0800000000000036</v>
      </c>
      <c r="U83" s="283">
        <f t="shared" si="2"/>
        <v>5.5841589246356481E-2</v>
      </c>
    </row>
    <row r="84" spans="15:21" x14ac:dyDescent="0.3">
      <c r="O84" s="281">
        <v>34</v>
      </c>
      <c r="P84" s="276">
        <f t="shared" ref="P84:P115" si="4">P83+$P$35</f>
        <v>31163.549999999981</v>
      </c>
      <c r="Q84" s="282">
        <f t="shared" si="1"/>
        <v>2.2328944516804765E-5</v>
      </c>
      <c r="S84" s="281">
        <v>34</v>
      </c>
      <c r="T84" s="276">
        <f t="shared" si="3"/>
        <v>6.270000000000004</v>
      </c>
      <c r="U84" s="283">
        <f t="shared" si="2"/>
        <v>5.3620008994519568E-2</v>
      </c>
    </row>
    <row r="85" spans="15:21" x14ac:dyDescent="0.3">
      <c r="O85" s="281">
        <v>35</v>
      </c>
      <c r="P85" s="276">
        <f t="shared" si="4"/>
        <v>32107.89999999998</v>
      </c>
      <c r="Q85" s="282">
        <f t="shared" si="1"/>
        <v>2.1942740956723167E-5</v>
      </c>
      <c r="S85" s="281">
        <v>35</v>
      </c>
      <c r="T85" s="276">
        <f t="shared" si="3"/>
        <v>6.4600000000000044</v>
      </c>
      <c r="U85" s="283">
        <f t="shared" si="2"/>
        <v>5.1489989638691537E-2</v>
      </c>
    </row>
    <row r="86" spans="15:21" x14ac:dyDescent="0.3">
      <c r="O86" s="281">
        <v>36</v>
      </c>
      <c r="P86" s="276">
        <f t="shared" si="4"/>
        <v>33052.249999999978</v>
      </c>
      <c r="Q86" s="282">
        <f t="shared" si="1"/>
        <v>2.1518121704659039E-5</v>
      </c>
      <c r="S86" s="281">
        <v>36</v>
      </c>
      <c r="T86" s="276">
        <f t="shared" si="3"/>
        <v>6.6500000000000048</v>
      </c>
      <c r="U86" s="283">
        <f t="shared" si="2"/>
        <v>4.9447459233662915E-2</v>
      </c>
    </row>
    <row r="87" spans="15:21" x14ac:dyDescent="0.3">
      <c r="O87" s="281">
        <v>37</v>
      </c>
      <c r="P87" s="276">
        <f t="shared" si="4"/>
        <v>33996.599999999977</v>
      </c>
      <c r="Q87" s="282">
        <f t="shared" si="1"/>
        <v>2.1060073264227613E-5</v>
      </c>
      <c r="S87" s="281">
        <v>37</v>
      </c>
      <c r="T87" s="276">
        <f t="shared" si="3"/>
        <v>6.8400000000000052</v>
      </c>
      <c r="U87" s="283">
        <f t="shared" si="2"/>
        <v>4.7488558768111297E-2</v>
      </c>
    </row>
    <row r="88" spans="15:21" x14ac:dyDescent="0.3">
      <c r="O88" s="281">
        <v>38</v>
      </c>
      <c r="P88" s="276">
        <f t="shared" si="4"/>
        <v>34940.949999999975</v>
      </c>
      <c r="Q88" s="282">
        <f t="shared" si="1"/>
        <v>2.0573323329030424E-5</v>
      </c>
      <c r="S88" s="281">
        <v>38</v>
      </c>
      <c r="T88" s="276">
        <f t="shared" si="3"/>
        <v>7.0300000000000056</v>
      </c>
      <c r="U88" s="283">
        <f t="shared" si="2"/>
        <v>4.5609627274981711E-2</v>
      </c>
    </row>
    <row r="89" spans="15:21" x14ac:dyDescent="0.3">
      <c r="O89" s="281">
        <v>39</v>
      </c>
      <c r="P89" s="276">
        <f t="shared" si="4"/>
        <v>35885.299999999974</v>
      </c>
      <c r="Q89" s="282">
        <f t="shared" si="1"/>
        <v>2.0062328589102473E-5</v>
      </c>
      <c r="S89" s="281">
        <v>39</v>
      </c>
      <c r="T89" s="276">
        <f t="shared" si="3"/>
        <v>7.220000000000006</v>
      </c>
      <c r="U89" s="283">
        <f t="shared" si="2"/>
        <v>4.3807188441938781E-2</v>
      </c>
    </row>
    <row r="90" spans="15:21" x14ac:dyDescent="0.3">
      <c r="O90" s="281">
        <v>40</v>
      </c>
      <c r="P90" s="276">
        <f t="shared" si="4"/>
        <v>36829.649999999972</v>
      </c>
      <c r="Q90" s="282">
        <f t="shared" si="1"/>
        <v>1.9531267470801004E-5</v>
      </c>
      <c r="S90" s="281">
        <v>40</v>
      </c>
      <c r="T90" s="276">
        <f t="shared" si="3"/>
        <v>7.4100000000000064</v>
      </c>
      <c r="U90" s="283">
        <f t="shared" si="2"/>
        <v>4.2077938516682525E-2</v>
      </c>
    </row>
    <row r="91" spans="15:21" x14ac:dyDescent="0.3">
      <c r="O91" s="281">
        <v>41</v>
      </c>
      <c r="P91" s="276">
        <f t="shared" si="4"/>
        <v>37773.999999999971</v>
      </c>
      <c r="Q91" s="282">
        <f t="shared" si="1"/>
        <v>1.8984037062899651E-5</v>
      </c>
      <c r="S91" s="281">
        <v>41</v>
      </c>
      <c r="T91" s="276">
        <f t="shared" si="3"/>
        <v>7.6000000000000068</v>
      </c>
      <c r="U91" s="283">
        <f t="shared" si="2"/>
        <v>4.0418735336317638E-2</v>
      </c>
    </row>
    <row r="92" spans="15:21" x14ac:dyDescent="0.3">
      <c r="O92" s="281">
        <v>42</v>
      </c>
      <c r="P92" s="276">
        <f t="shared" si="4"/>
        <v>38718.349999999969</v>
      </c>
      <c r="Q92" s="282">
        <f t="shared" si="1"/>
        <v>1.8424253561401807E-5</v>
      </c>
      <c r="S92" s="281">
        <v>42</v>
      </c>
      <c r="T92" s="276">
        <f t="shared" si="3"/>
        <v>7.7900000000000071</v>
      </c>
      <c r="U92" s="283">
        <f t="shared" si="2"/>
        <v>3.8826588337747887E-2</v>
      </c>
    </row>
    <row r="93" spans="15:21" x14ac:dyDescent="0.3">
      <c r="O93" s="281">
        <v>43</v>
      </c>
      <c r="P93" s="276">
        <f t="shared" si="4"/>
        <v>39662.699999999968</v>
      </c>
      <c r="Q93" s="282">
        <f t="shared" si="1"/>
        <v>1.7855255639768456E-5</v>
      </c>
      <c r="S93" s="281">
        <v>43</v>
      </c>
      <c r="T93" s="276">
        <f t="shared" si="3"/>
        <v>7.9800000000000075</v>
      </c>
      <c r="U93" s="283">
        <f t="shared" si="2"/>
        <v>3.7298649428647246E-2</v>
      </c>
    </row>
    <row r="94" spans="15:21" x14ac:dyDescent="0.3">
      <c r="O94" s="281">
        <v>44</v>
      </c>
      <c r="P94" s="276">
        <f t="shared" si="4"/>
        <v>40607.049999999967</v>
      </c>
      <c r="Q94" s="282">
        <f t="shared" si="1"/>
        <v>1.7280110219769893E-5</v>
      </c>
      <c r="S94" s="281">
        <v>44</v>
      </c>
      <c r="T94" s="276">
        <f t="shared" si="3"/>
        <v>8.170000000000007</v>
      </c>
      <c r="U94" s="283">
        <f t="shared" si="2"/>
        <v>3.5832204617019428E-2</v>
      </c>
    </row>
    <row r="95" spans="15:21" x14ac:dyDescent="0.3">
      <c r="O95" s="281">
        <v>45</v>
      </c>
      <c r="P95" s="276">
        <f t="shared" si="4"/>
        <v>41551.399999999965</v>
      </c>
      <c r="Q95" s="282">
        <f t="shared" si="1"/>
        <v>1.6701620181059189E-5</v>
      </c>
      <c r="S95" s="281">
        <v>45</v>
      </c>
      <c r="T95" s="276">
        <f t="shared" si="3"/>
        <v>8.3600000000000065</v>
      </c>
      <c r="U95" s="283">
        <f t="shared" si="2"/>
        <v>3.4424666312536559E-2</v>
      </c>
    </row>
    <row r="96" spans="15:21" x14ac:dyDescent="0.3">
      <c r="O96" s="281">
        <v>46</v>
      </c>
      <c r="P96" s="276">
        <f t="shared" si="4"/>
        <v>42495.749999999964</v>
      </c>
      <c r="Q96" s="282">
        <f t="shared" si="1"/>
        <v>1.6122333604970691E-5</v>
      </c>
      <c r="S96" s="281">
        <v>46</v>
      </c>
      <c r="T96" s="276">
        <f t="shared" si="3"/>
        <v>8.550000000000006</v>
      </c>
      <c r="U96" s="283">
        <f t="shared" si="2"/>
        <v>3.307356622539552E-2</v>
      </c>
    </row>
    <row r="97" spans="15:21" x14ac:dyDescent="0.3">
      <c r="O97" s="281">
        <v>47</v>
      </c>
      <c r="P97" s="276">
        <f t="shared" si="4"/>
        <v>43440.099999999962</v>
      </c>
      <c r="Q97" s="282">
        <f t="shared" si="1"/>
        <v>1.5544554200183245E-5</v>
      </c>
      <c r="S97" s="281">
        <v>47</v>
      </c>
      <c r="T97" s="276">
        <f t="shared" si="3"/>
        <v>8.7400000000000055</v>
      </c>
      <c r="U97" s="283">
        <f t="shared" si="2"/>
        <v>3.1776548798857857E-2</v>
      </c>
    </row>
    <row r="98" spans="15:21" x14ac:dyDescent="0.3">
      <c r="O98" s="281">
        <v>48</v>
      </c>
      <c r="P98" s="276">
        <f t="shared" si="4"/>
        <v>44384.449999999961</v>
      </c>
      <c r="Q98" s="282">
        <f t="shared" si="1"/>
        <v>1.4970352605018629E-5</v>
      </c>
      <c r="S98" s="281">
        <v>48</v>
      </c>
      <c r="T98" s="276">
        <f t="shared" si="3"/>
        <v>8.930000000000005</v>
      </c>
      <c r="U98" s="283">
        <f t="shared" si="2"/>
        <v>3.0531365120347282E-2</v>
      </c>
    </row>
    <row r="99" spans="15:21" x14ac:dyDescent="0.3">
      <c r="O99" s="281">
        <v>49</v>
      </c>
      <c r="P99" s="276">
        <f t="shared" si="4"/>
        <v>45328.799999999959</v>
      </c>
      <c r="Q99" s="282">
        <f t="shared" si="1"/>
        <v>1.4401578303564431E-5</v>
      </c>
      <c r="S99" s="281">
        <v>49</v>
      </c>
      <c r="T99" s="276">
        <f t="shared" si="3"/>
        <v>9.1200000000000045</v>
      </c>
      <c r="U99" s="283">
        <f t="shared" si="2"/>
        <v>2.9335867263286224E-2</v>
      </c>
    </row>
    <row r="100" spans="15:21" x14ac:dyDescent="0.3">
      <c r="O100" s="281">
        <v>50</v>
      </c>
      <c r="P100" s="276">
        <f t="shared" si="4"/>
        <v>46273.149999999958</v>
      </c>
      <c r="Q100" s="282">
        <f t="shared" si="1"/>
        <v>1.3839871930828626E-5</v>
      </c>
      <c r="S100" s="281">
        <v>50</v>
      </c>
      <c r="T100" s="276">
        <f t="shared" si="3"/>
        <v>9.3100000000000041</v>
      </c>
      <c r="U100" s="283">
        <f t="shared" si="2"/>
        <v>2.8188003018012945E-2</v>
      </c>
    </row>
    <row r="101" spans="15:21" x14ac:dyDescent="0.3">
      <c r="O101" s="281">
        <v>51</v>
      </c>
      <c r="P101" s="276">
        <f t="shared" si="4"/>
        <v>47217.499999999956</v>
      </c>
      <c r="Q101" s="282">
        <f t="shared" si="1"/>
        <v>1.3286677776067966E-5</v>
      </c>
      <c r="S101" s="281">
        <v>51</v>
      </c>
      <c r="T101" s="276">
        <f t="shared" si="3"/>
        <v>9.5000000000000036</v>
      </c>
      <c r="U101" s="283">
        <f t="shared" si="2"/>
        <v>2.7085810975336942E-2</v>
      </c>
    </row>
    <row r="102" spans="15:21" x14ac:dyDescent="0.3">
      <c r="O102" s="281">
        <v>52</v>
      </c>
      <c r="P102" s="276">
        <f t="shared" si="4"/>
        <v>48161.849999999955</v>
      </c>
      <c r="Q102" s="282">
        <f t="shared" si="1"/>
        <v>1.2743256323601414E-5</v>
      </c>
      <c r="S102" s="281">
        <v>52</v>
      </c>
      <c r="T102" s="276">
        <f t="shared" si="3"/>
        <v>9.6900000000000031</v>
      </c>
      <c r="U102" s="283">
        <f t="shared" si="2"/>
        <v>2.6027415930725883E-2</v>
      </c>
    </row>
    <row r="103" spans="15:21" x14ac:dyDescent="0.3">
      <c r="O103" s="281">
        <v>53</v>
      </c>
      <c r="P103" s="276">
        <f t="shared" si="4"/>
        <v>49106.199999999953</v>
      </c>
      <c r="Q103" s="282">
        <f t="shared" si="1"/>
        <v>1.2210696697133417E-5</v>
      </c>
      <c r="S103" s="281">
        <v>53</v>
      </c>
      <c r="T103" s="276">
        <f t="shared" si="3"/>
        <v>9.8800000000000026</v>
      </c>
      <c r="U103" s="283">
        <f t="shared" si="2"/>
        <v>2.5011024580904834E-2</v>
      </c>
    </row>
    <row r="104" spans="15:21" x14ac:dyDescent="0.3">
      <c r="O104" s="281">
        <v>54</v>
      </c>
      <c r="P104" s="276">
        <f t="shared" si="4"/>
        <v>50050.549999999952</v>
      </c>
      <c r="Q104" s="282">
        <f t="shared" si="1"/>
        <v>1.1689928897169283E-5</v>
      </c>
      <c r="S104" s="281">
        <v>54</v>
      </c>
      <c r="T104" s="276">
        <f t="shared" si="3"/>
        <v>10.070000000000002</v>
      </c>
      <c r="U104" s="283">
        <f t="shared" si="2"/>
        <v>2.4034921487895787E-2</v>
      </c>
    </row>
    <row r="105" spans="15:21" x14ac:dyDescent="0.3">
      <c r="O105" s="281">
        <v>55</v>
      </c>
      <c r="P105" s="276">
        <f t="shared" si="4"/>
        <v>50994.899999999951</v>
      </c>
      <c r="Q105" s="282">
        <f t="shared" si="1"/>
        <v>1.1181735741792869E-5</v>
      </c>
      <c r="S105" s="281">
        <v>55</v>
      </c>
      <c r="T105" s="276">
        <f t="shared" si="3"/>
        <v>10.260000000000002</v>
      </c>
      <c r="U105" s="283">
        <f t="shared" si="2"/>
        <v>2.3097465288319862E-2</v>
      </c>
    </row>
    <row r="106" spans="15:21" x14ac:dyDescent="0.3">
      <c r="O106" s="281">
        <v>56</v>
      </c>
      <c r="P106" s="276">
        <f t="shared" si="4"/>
        <v>51939.249999999949</v>
      </c>
      <c r="Q106" s="282">
        <f t="shared" si="1"/>
        <v>1.0686764439164649E-5</v>
      </c>
      <c r="S106" s="281">
        <v>56</v>
      </c>
      <c r="T106" s="276">
        <f t="shared" si="3"/>
        <v>10.450000000000001</v>
      </c>
      <c r="U106" s="283">
        <f t="shared" si="2"/>
        <v>2.2197085128198561E-2</v>
      </c>
    </row>
    <row r="107" spans="15:21" x14ac:dyDescent="0.3">
      <c r="O107" s="281">
        <v>57</v>
      </c>
      <c r="P107" s="276">
        <f t="shared" si="4"/>
        <v>52883.599999999948</v>
      </c>
      <c r="Q107" s="282">
        <f t="shared" si="1"/>
        <v>1.02055377358411E-5</v>
      </c>
      <c r="S107" s="281">
        <v>57</v>
      </c>
      <c r="T107" s="276">
        <f t="shared" si="3"/>
        <v>10.64</v>
      </c>
      <c r="U107" s="283">
        <f t="shared" si="2"/>
        <v>2.133227730558359E-2</v>
      </c>
    </row>
    <row r="108" spans="15:21" x14ac:dyDescent="0.3">
      <c r="O108" s="281">
        <v>58</v>
      </c>
      <c r="P108" s="276">
        <f t="shared" si="4"/>
        <v>53827.949999999946</v>
      </c>
      <c r="Q108" s="282">
        <f t="shared" si="1"/>
        <v>9.738464598649563E-6</v>
      </c>
      <c r="S108" s="281">
        <v>58</v>
      </c>
      <c r="T108" s="276">
        <f t="shared" si="3"/>
        <v>10.83</v>
      </c>
      <c r="U108" s="283">
        <f t="shared" si="2"/>
        <v>2.0501602105165443E-2</v>
      </c>
    </row>
    <row r="109" spans="15:21" x14ac:dyDescent="0.3">
      <c r="O109" s="281">
        <v>59</v>
      </c>
      <c r="P109" s="276">
        <f t="shared" si="4"/>
        <v>54772.299999999945</v>
      </c>
      <c r="Q109" s="282">
        <f t="shared" si="1"/>
        <v>9.2858503995967005E-6</v>
      </c>
      <c r="S109" s="281">
        <v>59</v>
      </c>
      <c r="T109" s="276">
        <f t="shared" si="3"/>
        <v>11.02</v>
      </c>
      <c r="U109" s="283">
        <f t="shared" si="2"/>
        <v>1.9703680810600754E-2</v>
      </c>
    </row>
    <row r="110" spans="15:21" x14ac:dyDescent="0.3">
      <c r="O110" s="281">
        <v>60</v>
      </c>
      <c r="P110" s="276">
        <f t="shared" si="4"/>
        <v>55716.649999999943</v>
      </c>
      <c r="Q110" s="282">
        <f t="shared" si="1"/>
        <v>8.8479065833448757E-6</v>
      </c>
      <c r="S110" s="281">
        <v>60</v>
      </c>
      <c r="T110" s="276">
        <f t="shared" si="3"/>
        <v>11.209999999999999</v>
      </c>
      <c r="U110" s="283">
        <f t="shared" si="2"/>
        <v>1.8937192881690997E-2</v>
      </c>
    </row>
    <row r="111" spans="15:21" x14ac:dyDescent="0.3">
      <c r="O111" s="281">
        <v>61</v>
      </c>
      <c r="P111" s="276">
        <f t="shared" si="4"/>
        <v>56660.999999999942</v>
      </c>
      <c r="Q111" s="282">
        <f t="shared" si="1"/>
        <v>8.4247598053454149E-6</v>
      </c>
      <c r="S111" s="281">
        <v>61</v>
      </c>
      <c r="T111" s="276">
        <f t="shared" si="3"/>
        <v>11.399999999999999</v>
      </c>
      <c r="U111" s="283">
        <f t="shared" si="2"/>
        <v>1.8200873284768437E-2</v>
      </c>
    </row>
    <row r="112" spans="15:21" x14ac:dyDescent="0.3">
      <c r="O112" s="281">
        <v>62</v>
      </c>
      <c r="P112" s="276">
        <f t="shared" si="4"/>
        <v>57605.34999999994</v>
      </c>
      <c r="Q112" s="282">
        <f t="shared" si="1"/>
        <v>8.0164605359403522E-6</v>
      </c>
      <c r="S112" s="281">
        <v>62</v>
      </c>
      <c r="T112" s="276">
        <f t="shared" si="3"/>
        <v>11.589999999999998</v>
      </c>
      <c r="U112" s="283">
        <f t="shared" si="2"/>
        <v>1.7493509965724036E-2</v>
      </c>
    </row>
    <row r="113" spans="15:21" x14ac:dyDescent="0.3">
      <c r="O113" s="281">
        <v>63</v>
      </c>
      <c r="P113" s="276">
        <f t="shared" si="4"/>
        <v>58549.699999999939</v>
      </c>
      <c r="Q113" s="282">
        <f t="shared" si="1"/>
        <v>7.6229911317896505E-6</v>
      </c>
      <c r="S113" s="281">
        <v>63</v>
      </c>
      <c r="T113" s="276">
        <f t="shared" si="3"/>
        <v>11.779999999999998</v>
      </c>
      <c r="U113" s="283">
        <f t="shared" si="2"/>
        <v>1.6813941456065663E-2</v>
      </c>
    </row>
    <row r="114" spans="15:21" x14ac:dyDescent="0.3">
      <c r="O114" s="281">
        <v>64</v>
      </c>
      <c r="P114" s="276">
        <f t="shared" si="4"/>
        <v>59494.049999999937</v>
      </c>
      <c r="Q114" s="282">
        <f t="shared" si="1"/>
        <v>7.2442733809894224E-6</v>
      </c>
      <c r="S114" s="281">
        <v>64</v>
      </c>
      <c r="T114" s="276">
        <f t="shared" si="3"/>
        <v>11.969999999999997</v>
      </c>
      <c r="U114" s="283">
        <f t="shared" si="2"/>
        <v>1.6161054603240556E-2</v>
      </c>
    </row>
    <row r="115" spans="15:21" x14ac:dyDescent="0.3">
      <c r="O115" s="281">
        <v>65</v>
      </c>
      <c r="P115" s="276">
        <f t="shared" si="4"/>
        <v>60438.399999999936</v>
      </c>
      <c r="Q115" s="282">
        <f t="shared" si="1"/>
        <v>6.8801755323452027E-6</v>
      </c>
      <c r="S115" s="281">
        <v>65</v>
      </c>
      <c r="T115" s="276">
        <f t="shared" si="3"/>
        <v>12.159999999999997</v>
      </c>
      <c r="U115" s="283">
        <f t="shared" si="2"/>
        <v>1.5533782417208234E-2</v>
      </c>
    </row>
    <row r="116" spans="15:21" x14ac:dyDescent="0.3">
      <c r="O116" s="281">
        <v>66</v>
      </c>
      <c r="P116" s="276">
        <f t="shared" ref="P116:P151" si="5">P115+$P$35</f>
        <v>61382.749999999935</v>
      </c>
      <c r="Q116" s="282">
        <f t="shared" ref="Q116:Q151" si="6">IF($E$43="Gamma",IF(ISERROR(GAMMADIST($P116,$P$36,$P$37,0)),"",GAMMADIST($P116,$P$36,$P$37,0)),IF(ISERROR(EXPONDIST($P116,1/$P$36,0)),"",EXPONDIST($P116,1/$P$36,0)))</f>
        <v>6.5305188225677961E-6</v>
      </c>
      <c r="S116" s="281">
        <v>66</v>
      </c>
      <c r="T116" s="276">
        <f t="shared" si="3"/>
        <v>12.349999999999996</v>
      </c>
      <c r="U116" s="283">
        <f t="shared" ref="U116:U151" si="7">IF($K$43="Gamma",IF(ISERROR(GAMMADIST($T116,$T$36,$T$37,0)),"",GAMMADIST($T116,$T$36,$T$37,0)),IF(ISERROR(EXPONDIST($T116,1/$T$36,0)),"",EXPONDIST($T116,1/$T$36,0)))</f>
        <v>1.4931102025920746E-2</v>
      </c>
    </row>
    <row r="117" spans="15:21" x14ac:dyDescent="0.3">
      <c r="O117" s="281">
        <v>67</v>
      </c>
      <c r="P117" s="276">
        <f t="shared" si="5"/>
        <v>62327.099999999933</v>
      </c>
      <c r="Q117" s="282">
        <f t="shared" si="6"/>
        <v>6.1950835177699864E-6</v>
      </c>
      <c r="S117" s="281">
        <v>67</v>
      </c>
      <c r="T117" s="276">
        <f t="shared" ref="T117:T151" si="8">T116+$T$35</f>
        <v>12.539999999999996</v>
      </c>
      <c r="U117" s="283">
        <f t="shared" si="7"/>
        <v>1.4352032732967085E-2</v>
      </c>
    </row>
    <row r="118" spans="15:21" x14ac:dyDescent="0.3">
      <c r="O118" s="281">
        <v>68</v>
      </c>
      <c r="P118" s="276">
        <f t="shared" si="5"/>
        <v>63271.449999999932</v>
      </c>
      <c r="Q118" s="282">
        <f t="shared" si="6"/>
        <v>5.8736144876533069E-6</v>
      </c>
      <c r="S118" s="281">
        <v>68</v>
      </c>
      <c r="T118" s="276">
        <f t="shared" si="8"/>
        <v>12.729999999999995</v>
      </c>
      <c r="U118" s="283">
        <f t="shared" si="7"/>
        <v>1.3795634171176329E-2</v>
      </c>
    </row>
    <row r="119" spans="15:21" x14ac:dyDescent="0.3">
      <c r="O119" s="281">
        <v>69</v>
      </c>
      <c r="P119" s="276">
        <f t="shared" si="5"/>
        <v>64215.79999999993</v>
      </c>
      <c r="Q119" s="282">
        <f t="shared" si="6"/>
        <v>5.5658263322674815E-6</v>
      </c>
      <c r="S119" s="281">
        <v>69</v>
      </c>
      <c r="T119" s="276">
        <f t="shared" si="8"/>
        <v>12.919999999999995</v>
      </c>
      <c r="U119" s="283">
        <f t="shared" si="7"/>
        <v>1.3261004546457563E-2</v>
      </c>
    </row>
    <row r="120" spans="15:21" x14ac:dyDescent="0.3">
      <c r="O120" s="281">
        <v>70</v>
      </c>
      <c r="P120" s="276">
        <f t="shared" si="5"/>
        <v>65160.149999999929</v>
      </c>
      <c r="Q120" s="282">
        <f t="shared" si="6"/>
        <v>5.271408082274378E-6</v>
      </c>
      <c r="S120" s="281">
        <v>70</v>
      </c>
      <c r="T120" s="276">
        <f t="shared" si="8"/>
        <v>13.109999999999994</v>
      </c>
      <c r="U120" s="283">
        <f t="shared" si="7"/>
        <v>1.2747278966590361E-2</v>
      </c>
    </row>
    <row r="121" spans="15:21" x14ac:dyDescent="0.3">
      <c r="O121" s="281">
        <v>71</v>
      </c>
      <c r="P121" s="276">
        <f t="shared" si="5"/>
        <v>66104.499999999927</v>
      </c>
      <c r="Q121" s="282">
        <f t="shared" si="6"/>
        <v>4.990027494318872E-6</v>
      </c>
      <c r="S121" s="281">
        <v>71</v>
      </c>
      <c r="T121" s="276">
        <f t="shared" si="8"/>
        <v>13.299999999999994</v>
      </c>
      <c r="U121" s="283">
        <f t="shared" si="7"/>
        <v>1.225362785007315E-2</v>
      </c>
    </row>
    <row r="122" spans="15:21" x14ac:dyDescent="0.3">
      <c r="O122" s="281">
        <v>72</v>
      </c>
      <c r="P122" s="276">
        <f t="shared" si="5"/>
        <v>67048.849999999933</v>
      </c>
      <c r="Q122" s="282">
        <f t="shared" si="6"/>
        <v>4.7213349634590096E-6</v>
      </c>
      <c r="S122" s="281">
        <v>72</v>
      </c>
      <c r="T122" s="276">
        <f t="shared" si="8"/>
        <v>13.489999999999993</v>
      </c>
      <c r="U122" s="283">
        <f t="shared" si="7"/>
        <v>1.1779255410493019E-2</v>
      </c>
    </row>
    <row r="123" spans="15:21" x14ac:dyDescent="0.3">
      <c r="O123" s="281">
        <v>73</v>
      </c>
      <c r="P123" s="276">
        <f t="shared" si="5"/>
        <v>67993.199999999939</v>
      </c>
      <c r="Q123" s="282">
        <f t="shared" si="6"/>
        <v>4.4649670746878655E-6</v>
      </c>
      <c r="S123" s="281">
        <v>73</v>
      </c>
      <c r="T123" s="276">
        <f t="shared" si="8"/>
        <v>13.679999999999993</v>
      </c>
      <c r="U123" s="283">
        <f t="shared" si="7"/>
        <v>1.1323398212204051E-2</v>
      </c>
    </row>
    <row r="124" spans="15:21" x14ac:dyDescent="0.3">
      <c r="O124" s="281">
        <v>74</v>
      </c>
      <c r="P124" s="276">
        <f t="shared" si="5"/>
        <v>68937.549999999945</v>
      </c>
      <c r="Q124" s="282">
        <f t="shared" si="6"/>
        <v>4.2205498154350408E-6</v>
      </c>
      <c r="S124" s="281">
        <v>74</v>
      </c>
      <c r="T124" s="276">
        <f t="shared" si="8"/>
        <v>13.869999999999992</v>
      </c>
      <c r="U124" s="283">
        <f t="shared" si="7"/>
        <v>1.0885323793395371E-2</v>
      </c>
    </row>
    <row r="125" spans="15:21" x14ac:dyDescent="0.3">
      <c r="O125" s="281">
        <v>75</v>
      </c>
      <c r="P125" s="276">
        <f t="shared" si="5"/>
        <v>69881.899999999951</v>
      </c>
      <c r="Q125" s="282">
        <f t="shared" si="6"/>
        <v>3.9877014706060991E-6</v>
      </c>
      <c r="S125" s="281">
        <v>75</v>
      </c>
      <c r="T125" s="276">
        <f t="shared" si="8"/>
        <v>14.059999999999992</v>
      </c>
      <c r="U125" s="283">
        <f t="shared" si="7"/>
        <v>1.0464329352897941E-2</v>
      </c>
    </row>
    <row r="126" spans="15:21" x14ac:dyDescent="0.3">
      <c r="O126" s="281">
        <v>76</v>
      </c>
      <c r="P126" s="276">
        <f t="shared" si="5"/>
        <v>70826.249999999956</v>
      </c>
      <c r="Q126" s="282">
        <f t="shared" si="6"/>
        <v>3.7660352212380232E-6</v>
      </c>
      <c r="S126" s="281">
        <v>76</v>
      </c>
      <c r="T126" s="276">
        <f t="shared" si="8"/>
        <v>14.249999999999991</v>
      </c>
      <c r="U126" s="283">
        <f t="shared" si="7"/>
        <v>1.0059740497324313E-2</v>
      </c>
    </row>
    <row r="127" spans="15:21" x14ac:dyDescent="0.3">
      <c r="O127" s="281">
        <v>77</v>
      </c>
      <c r="P127" s="276">
        <f t="shared" si="5"/>
        <v>71770.599999999962</v>
      </c>
      <c r="Q127" s="282">
        <f t="shared" si="6"/>
        <v>3.5551614672479739E-6</v>
      </c>
      <c r="S127" s="281">
        <v>77</v>
      </c>
      <c r="T127" s="276">
        <f t="shared" si="8"/>
        <v>14.439999999999991</v>
      </c>
      <c r="U127" s="283">
        <f t="shared" si="7"/>
        <v>9.6709100453592489E-3</v>
      </c>
    </row>
    <row r="128" spans="15:21" x14ac:dyDescent="0.3">
      <c r="O128" s="281">
        <v>78</v>
      </c>
      <c r="P128" s="276">
        <f t="shared" si="5"/>
        <v>72714.949999999968</v>
      </c>
      <c r="Q128" s="282">
        <f t="shared" si="6"/>
        <v>3.3546898940574879E-6</v>
      </c>
      <c r="S128" s="281">
        <v>78</v>
      </c>
      <c r="T128" s="276">
        <f t="shared" si="8"/>
        <v>14.62999999999999</v>
      </c>
      <c r="U128" s="283">
        <f t="shared" si="7"/>
        <v>9.2972168862247625E-3</v>
      </c>
    </row>
    <row r="129" spans="15:21" x14ac:dyDescent="0.3">
      <c r="O129" s="281">
        <v>79</v>
      </c>
      <c r="P129" s="276">
        <f t="shared" si="5"/>
        <v>73659.299999999974</v>
      </c>
      <c r="Q129" s="282">
        <f t="shared" si="6"/>
        <v>3.164231302107499E-6</v>
      </c>
      <c r="S129" s="281">
        <v>79</v>
      </c>
      <c r="T129" s="276">
        <f t="shared" si="8"/>
        <v>14.81999999999999</v>
      </c>
      <c r="U129" s="283">
        <f t="shared" si="7"/>
        <v>8.9380648895317789E-3</v>
      </c>
    </row>
    <row r="130" spans="15:21" x14ac:dyDescent="0.3">
      <c r="O130" s="281">
        <v>80</v>
      </c>
      <c r="P130" s="276">
        <f t="shared" si="5"/>
        <v>74603.64999999998</v>
      </c>
      <c r="Q130" s="282">
        <f t="shared" si="6"/>
        <v>2.9833992174599818E-6</v>
      </c>
      <c r="S130" s="281">
        <v>80</v>
      </c>
      <c r="T130" s="276">
        <f t="shared" si="8"/>
        <v>15.009999999999989</v>
      </c>
      <c r="U130" s="283">
        <f t="shared" si="7"/>
        <v>8.5928818639041428E-3</v>
      </c>
    </row>
    <row r="131" spans="15:21" x14ac:dyDescent="0.3">
      <c r="O131" s="281">
        <v>81</v>
      </c>
      <c r="P131" s="276">
        <f t="shared" si="5"/>
        <v>75547.999999999985</v>
      </c>
      <c r="Q131" s="282">
        <f t="shared" si="6"/>
        <v>2.8118113008271156E-6</v>
      </c>
      <c r="S131" s="281">
        <v>81</v>
      </c>
      <c r="T131" s="276">
        <f t="shared" si="8"/>
        <v>15.199999999999989</v>
      </c>
      <c r="U131" s="283">
        <f t="shared" si="7"/>
        <v>8.2611185619210336E-3</v>
      </c>
    </row>
    <row r="132" spans="15:21" x14ac:dyDescent="0.3">
      <c r="O132" s="281">
        <v>82</v>
      </c>
      <c r="P132" s="276">
        <f t="shared" si="5"/>
        <v>76492.349999999991</v>
      </c>
      <c r="Q132" s="282">
        <f t="shared" si="6"/>
        <v>2.6490905714919025E-6</v>
      </c>
      <c r="S132" s="281">
        <v>82</v>
      </c>
      <c r="T132" s="276">
        <f t="shared" si="8"/>
        <v>15.389999999999988</v>
      </c>
      <c r="U132" s="283">
        <f t="shared" si="7"/>
        <v>7.9422477290713479E-3</v>
      </c>
    </row>
    <row r="133" spans="15:21" x14ac:dyDescent="0.3">
      <c r="O133" s="281">
        <v>83</v>
      </c>
      <c r="P133" s="276">
        <f t="shared" si="5"/>
        <v>77436.7</v>
      </c>
      <c r="Q133" s="282">
        <f t="shared" si="6"/>
        <v>2.4948664616976704E-6</v>
      </c>
      <c r="S133" s="281">
        <v>83</v>
      </c>
      <c r="T133" s="276">
        <f t="shared" si="8"/>
        <v>15.579999999999988</v>
      </c>
      <c r="U133" s="283">
        <f t="shared" si="7"/>
        <v>7.635763194550573E-3</v>
      </c>
    </row>
    <row r="134" spans="15:21" x14ac:dyDescent="0.3">
      <c r="O134" s="281">
        <v>84</v>
      </c>
      <c r="P134" s="276">
        <f t="shared" si="5"/>
        <v>78381.05</v>
      </c>
      <c r="Q134" s="282">
        <f t="shared" si="6"/>
        <v>2.3487757161974119E-6</v>
      </c>
      <c r="S134" s="281">
        <v>84</v>
      </c>
      <c r="T134" s="276">
        <f t="shared" si="8"/>
        <v>15.769999999999987</v>
      </c>
      <c r="U134" s="283">
        <f t="shared" si="7"/>
        <v>7.3411790018571366E-3</v>
      </c>
    </row>
    <row r="135" spans="15:21" x14ac:dyDescent="0.3">
      <c r="O135" s="281">
        <v>85</v>
      </c>
      <c r="P135" s="276">
        <f t="shared" si="5"/>
        <v>79325.400000000009</v>
      </c>
      <c r="Q135" s="282">
        <f t="shared" si="6"/>
        <v>2.2104631507761208E-6</v>
      </c>
      <c r="S135" s="281">
        <v>85</v>
      </c>
      <c r="T135" s="276">
        <f t="shared" si="8"/>
        <v>15.959999999999987</v>
      </c>
      <c r="U135" s="283">
        <f t="shared" si="7"/>
        <v>7.0580285772628166E-3</v>
      </c>
    </row>
    <row r="136" spans="15:21" x14ac:dyDescent="0.3">
      <c r="O136" s="281">
        <v>86</v>
      </c>
      <c r="P136" s="276">
        <f t="shared" si="5"/>
        <v>80269.750000000015</v>
      </c>
      <c r="Q136" s="282">
        <f t="shared" si="6"/>
        <v>2.0795822826965447E-6</v>
      </c>
      <c r="S136" s="281">
        <v>86</v>
      </c>
      <c r="T136" s="276">
        <f t="shared" si="8"/>
        <v>16.149999999999988</v>
      </c>
      <c r="U136" s="283">
        <f t="shared" si="7"/>
        <v>6.7858639343407667E-3</v>
      </c>
    </row>
    <row r="137" spans="15:21" x14ac:dyDescent="0.3">
      <c r="O137" s="281">
        <v>87</v>
      </c>
      <c r="P137" s="276">
        <f t="shared" si="5"/>
        <v>81214.10000000002</v>
      </c>
      <c r="Q137" s="282">
        <f t="shared" si="6"/>
        <v>1.9557958451770121E-6</v>
      </c>
      <c r="S137" s="281">
        <v>87</v>
      </c>
      <c r="T137" s="276">
        <f t="shared" si="8"/>
        <v>16.339999999999989</v>
      </c>
      <c r="U137" s="283">
        <f t="shared" si="7"/>
        <v>6.5242549128364169E-3</v>
      </c>
    </row>
    <row r="138" spans="15:21" x14ac:dyDescent="0.3">
      <c r="O138" s="281">
        <v>88</v>
      </c>
      <c r="P138" s="276">
        <f t="shared" si="5"/>
        <v>82158.450000000026</v>
      </c>
      <c r="Q138" s="282">
        <f t="shared" si="6"/>
        <v>1.8387761971932872E-6</v>
      </c>
      <c r="S138" s="281">
        <v>88</v>
      </c>
      <c r="T138" s="276">
        <f t="shared" si="8"/>
        <v>16.52999999999999</v>
      </c>
      <c r="U138" s="283">
        <f t="shared" si="7"/>
        <v>6.272788450260928E-3</v>
      </c>
    </row>
    <row r="139" spans="15:21" x14ac:dyDescent="0.3">
      <c r="O139" s="281">
        <v>89</v>
      </c>
      <c r="P139" s="276">
        <f t="shared" si="5"/>
        <v>83102.800000000032</v>
      </c>
      <c r="Q139" s="282">
        <f t="shared" si="6"/>
        <v>1.7282056391082113E-6</v>
      </c>
      <c r="S139" s="281">
        <v>89</v>
      </c>
      <c r="T139" s="276">
        <f t="shared" si="8"/>
        <v>16.719999999999992</v>
      </c>
      <c r="U139" s="283">
        <f t="shared" si="7"/>
        <v>6.0310678846751866E-3</v>
      </c>
    </row>
    <row r="140" spans="15:21" x14ac:dyDescent="0.3">
      <c r="O140" s="281">
        <v>90</v>
      </c>
      <c r="P140" s="276">
        <f t="shared" si="5"/>
        <v>84047.150000000038</v>
      </c>
      <c r="Q140" s="282">
        <f t="shared" si="6"/>
        <v>1.6237766438758957E-6</v>
      </c>
      <c r="S140" s="281">
        <v>90</v>
      </c>
      <c r="T140" s="276">
        <f t="shared" si="8"/>
        <v>16.909999999999993</v>
      </c>
      <c r="U140" s="283">
        <f t="shared" si="7"/>
        <v>5.7987122872146073E-3</v>
      </c>
    </row>
    <row r="141" spans="15:21" x14ac:dyDescent="0.3">
      <c r="O141" s="281">
        <v>91</v>
      </c>
      <c r="P141" s="276">
        <f t="shared" si="5"/>
        <v>84991.500000000044</v>
      </c>
      <c r="Q141" s="282">
        <f t="shared" si="6"/>
        <v>1.5251920128430858E-6</v>
      </c>
      <c r="S141" s="281">
        <v>91</v>
      </c>
      <c r="T141" s="276">
        <f t="shared" si="8"/>
        <v>17.099999999999994</v>
      </c>
      <c r="U141" s="283">
        <f t="shared" si="7"/>
        <v>5.5753558229821552E-3</v>
      </c>
    </row>
    <row r="142" spans="15:21" x14ac:dyDescent="0.3">
      <c r="O142" s="281">
        <v>92</v>
      </c>
      <c r="P142" s="276">
        <f t="shared" si="5"/>
        <v>85935.850000000049</v>
      </c>
      <c r="Q142" s="282">
        <f t="shared" si="6"/>
        <v>1.4321649644803426E-6</v>
      </c>
      <c r="S142" s="281">
        <v>92</v>
      </c>
      <c r="T142" s="276">
        <f t="shared" si="8"/>
        <v>17.289999999999996</v>
      </c>
      <c r="U142" s="283">
        <f t="shared" si="7"/>
        <v>5.360647139008896E-3</v>
      </c>
    </row>
    <row r="143" spans="15:21" x14ac:dyDescent="0.3">
      <c r="O143" s="281">
        <v>93</v>
      </c>
      <c r="P143" s="276">
        <f t="shared" si="5"/>
        <v>86880.200000000055</v>
      </c>
      <c r="Q143" s="282">
        <f t="shared" si="6"/>
        <v>1.3444191637205626E-6</v>
      </c>
      <c r="S143" s="281">
        <v>93</v>
      </c>
      <c r="T143" s="276">
        <f t="shared" si="8"/>
        <v>17.479999999999997</v>
      </c>
      <c r="U143" s="283">
        <f t="shared" si="7"/>
        <v>5.1542487780491392E-3</v>
      </c>
    </row>
    <row r="144" spans="15:21" x14ac:dyDescent="0.3">
      <c r="O144" s="281">
        <v>94</v>
      </c>
      <c r="P144" s="276">
        <f t="shared" si="5"/>
        <v>87824.550000000061</v>
      </c>
      <c r="Q144" s="282">
        <f t="shared" si="6"/>
        <v>1.2616886989623419E-6</v>
      </c>
      <c r="S144" s="281">
        <v>94</v>
      </c>
      <c r="T144" s="276">
        <f t="shared" si="8"/>
        <v>17.669999999999998</v>
      </c>
      <c r="U144" s="283">
        <f t="shared" si="7"/>
        <v>4.9558366170403892E-3</v>
      </c>
    </row>
    <row r="145" spans="15:21" x14ac:dyDescent="0.3">
      <c r="O145" s="281">
        <v>95</v>
      </c>
      <c r="P145" s="276">
        <f t="shared" si="5"/>
        <v>88768.900000000067</v>
      </c>
      <c r="Q145" s="282">
        <f t="shared" si="6"/>
        <v>1.1837180132105982E-6</v>
      </c>
      <c r="S145" s="281">
        <v>95</v>
      </c>
      <c r="T145" s="276">
        <f t="shared" si="8"/>
        <v>17.86</v>
      </c>
      <c r="U145" s="283">
        <f t="shared" si="7"/>
        <v>4.7650993291179404E-3</v>
      </c>
    </row>
    <row r="146" spans="15:21" x14ac:dyDescent="0.3">
      <c r="O146" s="281">
        <v>96</v>
      </c>
      <c r="P146" s="276">
        <f t="shared" si="5"/>
        <v>89713.250000000073</v>
      </c>
      <c r="Q146" s="282">
        <f t="shared" si="6"/>
        <v>1.110261795276455E-6</v>
      </c>
      <c r="S146" s="281">
        <v>96</v>
      </c>
      <c r="T146" s="276">
        <f t="shared" si="8"/>
        <v>18.05</v>
      </c>
      <c r="U146" s="283">
        <f t="shared" si="7"/>
        <v>4.5817378681298178E-3</v>
      </c>
    </row>
    <row r="147" spans="15:21" x14ac:dyDescent="0.3">
      <c r="O147" s="281">
        <v>97</v>
      </c>
      <c r="P147" s="276">
        <f t="shared" si="5"/>
        <v>90657.600000000079</v>
      </c>
      <c r="Q147" s="282">
        <f t="shared" si="6"/>
        <v>1.0410848364417329E-6</v>
      </c>
      <c r="S147" s="281">
        <v>97</v>
      </c>
      <c r="T147" s="276">
        <f t="shared" si="8"/>
        <v>18.240000000000002</v>
      </c>
      <c r="U147" s="283">
        <f t="shared" si="7"/>
        <v>4.4054649746502758E-3</v>
      </c>
    </row>
    <row r="148" spans="15:21" x14ac:dyDescent="0.3">
      <c r="O148" s="281">
        <v>98</v>
      </c>
      <c r="P148" s="276">
        <f t="shared" si="5"/>
        <v>91601.950000000084</v>
      </c>
      <c r="Q148" s="282">
        <f t="shared" si="6"/>
        <v>9.7596185750992789E-7</v>
      </c>
      <c r="S148" s="281">
        <v>98</v>
      </c>
      <c r="T148" s="276">
        <f t="shared" si="8"/>
        <v>18.430000000000003</v>
      </c>
      <c r="U148" s="283">
        <f t="shared" si="7"/>
        <v>4.2360047025397146E-3</v>
      </c>
    </row>
    <row r="149" spans="15:21" x14ac:dyDescent="0.3">
      <c r="O149" s="281">
        <v>99</v>
      </c>
      <c r="P149" s="276">
        <f t="shared" si="5"/>
        <v>92546.30000000009</v>
      </c>
      <c r="Q149" s="282">
        <f t="shared" si="6"/>
        <v>9.1467731071401539E-7</v>
      </c>
      <c r="S149" s="281">
        <v>99</v>
      </c>
      <c r="T149" s="276">
        <f t="shared" si="8"/>
        <v>18.620000000000005</v>
      </c>
      <c r="U149" s="283">
        <f t="shared" si="7"/>
        <v>4.0730919651453413E-3</v>
      </c>
    </row>
    <row r="150" spans="15:21" x14ac:dyDescent="0.3">
      <c r="O150" s="281">
        <v>100</v>
      </c>
      <c r="P150" s="276">
        <f t="shared" si="5"/>
        <v>93490.650000000096</v>
      </c>
      <c r="Q150" s="282">
        <f t="shared" si="6"/>
        <v>8.5702516053076822E-7</v>
      </c>
      <c r="S150" s="281">
        <v>100</v>
      </c>
      <c r="T150" s="276">
        <f t="shared" si="8"/>
        <v>18.810000000000006</v>
      </c>
      <c r="U150" s="283">
        <f t="shared" si="7"/>
        <v>3.9164721002810767E-3</v>
      </c>
    </row>
    <row r="151" spans="15:21" x14ac:dyDescent="0.3">
      <c r="O151" s="281">
        <v>101</v>
      </c>
      <c r="P151" s="276">
        <f t="shared" si="5"/>
        <v>94435.000000000102</v>
      </c>
      <c r="Q151" s="282">
        <f t="shared" si="6"/>
        <v>8.0280864706028989E-7</v>
      </c>
      <c r="S151" s="281">
        <v>101</v>
      </c>
      <c r="T151" s="276">
        <f t="shared" si="8"/>
        <v>19.000000000000007</v>
      </c>
      <c r="U151" s="283">
        <f t="shared" si="7"/>
        <v>3.7659004531665511E-3</v>
      </c>
    </row>
  </sheetData>
  <mergeCells count="86">
    <mergeCell ref="E48:G48"/>
    <mergeCell ref="E49:G49"/>
    <mergeCell ref="E50:G50"/>
    <mergeCell ref="E51:G51"/>
    <mergeCell ref="K47:M47"/>
    <mergeCell ref="K48:M48"/>
    <mergeCell ref="K49:M49"/>
    <mergeCell ref="K50:M50"/>
    <mergeCell ref="K51:M51"/>
    <mergeCell ref="H49:J49"/>
    <mergeCell ref="H50:J50"/>
    <mergeCell ref="H51:J51"/>
    <mergeCell ref="H47:J47"/>
    <mergeCell ref="E43:G43"/>
    <mergeCell ref="E44:G44"/>
    <mergeCell ref="H52:J52"/>
    <mergeCell ref="K52:M52"/>
    <mergeCell ref="H48:J48"/>
    <mergeCell ref="H45:J45"/>
    <mergeCell ref="K45:M45"/>
    <mergeCell ref="H46:J46"/>
    <mergeCell ref="K46:M46"/>
    <mergeCell ref="H43:J43"/>
    <mergeCell ref="K43:M43"/>
    <mergeCell ref="H44:J44"/>
    <mergeCell ref="K44:M44"/>
    <mergeCell ref="E45:G45"/>
    <mergeCell ref="E46:G46"/>
    <mergeCell ref="E47:G47"/>
    <mergeCell ref="D18:E19"/>
    <mergeCell ref="G4:J4"/>
    <mergeCell ref="G5:J5"/>
    <mergeCell ref="G6:J6"/>
    <mergeCell ref="G7:J7"/>
    <mergeCell ref="H15:J15"/>
    <mergeCell ref="J21:M21"/>
    <mergeCell ref="J18:M18"/>
    <mergeCell ref="J19:M19"/>
    <mergeCell ref="F17:M17"/>
    <mergeCell ref="E52:G52"/>
    <mergeCell ref="B26:G26"/>
    <mergeCell ref="H26:M26"/>
    <mergeCell ref="B17:C17"/>
    <mergeCell ref="D17:E17"/>
    <mergeCell ref="B18:C19"/>
    <mergeCell ref="F18:I18"/>
    <mergeCell ref="F19:I19"/>
    <mergeCell ref="B21:C22"/>
    <mergeCell ref="D21:D22"/>
    <mergeCell ref="E21:I21"/>
    <mergeCell ref="B23:C23"/>
    <mergeCell ref="B9:C9"/>
    <mergeCell ref="B10:C10"/>
    <mergeCell ref="D10:M10"/>
    <mergeCell ref="B11:C11"/>
    <mergeCell ref="D11:M11"/>
    <mergeCell ref="B12:C12"/>
    <mergeCell ref="D12:M12"/>
    <mergeCell ref="B15:D15"/>
    <mergeCell ref="E15:G15"/>
    <mergeCell ref="K15:M15"/>
    <mergeCell ref="B52:D52"/>
    <mergeCell ref="B44:D44"/>
    <mergeCell ref="B45:D45"/>
    <mergeCell ref="B46:D46"/>
    <mergeCell ref="B48:D48"/>
    <mergeCell ref="B47:D47"/>
    <mergeCell ref="B50:D50"/>
    <mergeCell ref="B49:D49"/>
    <mergeCell ref="B51:D51"/>
    <mergeCell ref="B55:M60"/>
    <mergeCell ref="B54:C54"/>
    <mergeCell ref="L2:M3"/>
    <mergeCell ref="D2:K3"/>
    <mergeCell ref="B2:C3"/>
    <mergeCell ref="B6:C6"/>
    <mergeCell ref="B7:C7"/>
    <mergeCell ref="L4:M4"/>
    <mergeCell ref="L5:M5"/>
    <mergeCell ref="L6:M6"/>
    <mergeCell ref="L7:M7"/>
    <mergeCell ref="D6:F6"/>
    <mergeCell ref="D7:F7"/>
    <mergeCell ref="B4:F4"/>
    <mergeCell ref="B5:F5"/>
    <mergeCell ref="B43:D43"/>
  </mergeCells>
  <conditionalFormatting sqref="L13:L14 L24:L25">
    <cfRule type="colorScale" priority="1">
      <colorScale>
        <cfvo type="min"/>
        <cfvo type="percentile" val="50"/>
        <cfvo type="max"/>
        <color rgb="FFF8696B"/>
        <color rgb="FFFFEB84"/>
        <color rgb="FF5A8AC6"/>
      </colorScale>
    </cfRule>
  </conditionalFormatting>
  <printOptions horizontalCentered="1" verticalCentered="1"/>
  <pageMargins left="0.59055118110236227" right="0.59055118110236227" top="0.59055118110236227" bottom="0.59055118110236227" header="0.31496062992125984" footer="0.31496062992125984"/>
  <pageSetup scale="72" orientation="portrait" r:id="rId1"/>
  <ignoredErrors>
    <ignoredError sqref="E44:G4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4340" r:id="rId4" name="Spinner 4">
              <controlPr defaultSize="0" autoPict="0">
                <anchor moveWithCells="1" sizeWithCells="1">
                  <from>
                    <xdr:col>14</xdr:col>
                    <xdr:colOff>38100</xdr:colOff>
                    <xdr:row>20</xdr:row>
                    <xdr:rowOff>30480</xdr:rowOff>
                  </from>
                  <to>
                    <xdr:col>15</xdr:col>
                    <xdr:colOff>0</xdr:colOff>
                    <xdr:row>23</xdr:row>
                    <xdr:rowOff>7620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B1:X426"/>
  <sheetViews>
    <sheetView topLeftCell="B1" workbookViewId="0">
      <pane xSplit="3" ySplit="3" topLeftCell="E58" activePane="bottomRight" state="frozen"/>
      <selection activeCell="B55" sqref="B2:M60"/>
      <selection pane="topRight" activeCell="B55" sqref="B2:M60"/>
      <selection pane="bottomLeft" activeCell="B55" sqref="B2:M60"/>
      <selection pane="bottomRight" activeCell="B62" sqref="A62:XFD62"/>
    </sheetView>
  </sheetViews>
  <sheetFormatPr baseColWidth="10" defaultColWidth="11.44140625" defaultRowHeight="14.4" x14ac:dyDescent="0.3"/>
  <cols>
    <col min="1" max="4" width="11.44140625" style="138"/>
    <col min="5" max="5" width="28.109375" style="138" customWidth="1"/>
    <col min="6" max="6" width="83.5546875" style="138" customWidth="1"/>
    <col min="7" max="7" width="19.88671875" style="138" customWidth="1"/>
    <col min="8" max="9" width="11.44140625" style="138"/>
    <col min="10" max="10" width="15.33203125" style="138" customWidth="1"/>
    <col min="11" max="11" width="11.44140625" style="138"/>
    <col min="12" max="12" width="13.88671875" style="138" customWidth="1"/>
    <col min="13" max="13" width="12.6640625" style="138" customWidth="1"/>
    <col min="14" max="14" width="11.6640625" style="138" bestFit="1" customWidth="1"/>
    <col min="15" max="15" width="11.44140625" style="138"/>
    <col min="16" max="16" width="12.5546875" style="138" customWidth="1"/>
    <col min="17" max="20" width="11.44140625" style="138"/>
    <col min="21" max="21" width="18.44140625" style="138" customWidth="1"/>
    <col min="22" max="16384" width="11.44140625" style="138"/>
  </cols>
  <sheetData>
    <row r="1" spans="2:24" ht="15" thickBot="1" x14ac:dyDescent="0.35">
      <c r="D1" s="138">
        <v>1</v>
      </c>
      <c r="E1" s="138">
        <v>2</v>
      </c>
      <c r="F1" s="138">
        <v>3</v>
      </c>
      <c r="G1" s="138">
        <v>4</v>
      </c>
      <c r="H1" s="138">
        <v>5</v>
      </c>
      <c r="I1" s="138">
        <v>6</v>
      </c>
      <c r="J1" s="138">
        <v>7</v>
      </c>
      <c r="K1" s="138">
        <v>8</v>
      </c>
      <c r="L1" s="138">
        <v>9</v>
      </c>
      <c r="M1" s="138">
        <v>10</v>
      </c>
      <c r="N1" s="138">
        <v>11</v>
      </c>
      <c r="O1" s="138">
        <v>12</v>
      </c>
      <c r="P1" s="138">
        <v>13</v>
      </c>
      <c r="Q1" s="138">
        <v>14</v>
      </c>
      <c r="R1" s="138">
        <v>15</v>
      </c>
      <c r="S1" s="138">
        <v>16</v>
      </c>
      <c r="T1" s="138">
        <v>17</v>
      </c>
      <c r="U1" s="138">
        <v>18</v>
      </c>
      <c r="V1" s="138">
        <v>19</v>
      </c>
      <c r="W1" s="138">
        <v>20</v>
      </c>
      <c r="X1" s="138">
        <v>21</v>
      </c>
    </row>
    <row r="2" spans="2:24" ht="15" thickBot="1" x14ac:dyDescent="0.35">
      <c r="N2" s="410" t="s">
        <v>462</v>
      </c>
      <c r="O2" s="411"/>
      <c r="P2" s="411"/>
      <c r="Q2" s="411"/>
      <c r="R2" s="411"/>
      <c r="S2" s="165"/>
      <c r="T2" s="165"/>
      <c r="U2" s="165"/>
      <c r="V2" s="411" t="s">
        <v>463</v>
      </c>
      <c r="W2" s="411"/>
      <c r="X2" s="412"/>
    </row>
    <row r="3" spans="2:24" ht="15" thickBot="1" x14ac:dyDescent="0.35">
      <c r="B3" s="166" t="s">
        <v>453</v>
      </c>
      <c r="C3" s="166" t="s">
        <v>452</v>
      </c>
      <c r="D3" s="167" t="s">
        <v>0</v>
      </c>
      <c r="E3" s="167" t="s">
        <v>159</v>
      </c>
      <c r="F3" s="168" t="s">
        <v>287</v>
      </c>
      <c r="G3" s="167" t="s">
        <v>239</v>
      </c>
      <c r="H3" s="167" t="s">
        <v>269</v>
      </c>
      <c r="I3" s="169" t="s">
        <v>270</v>
      </c>
      <c r="J3" s="167" t="s">
        <v>271</v>
      </c>
      <c r="K3" s="167" t="s">
        <v>282</v>
      </c>
      <c r="L3" s="167" t="s">
        <v>272</v>
      </c>
      <c r="M3" s="169" t="s">
        <v>273</v>
      </c>
      <c r="N3" s="170" t="s">
        <v>274</v>
      </c>
      <c r="O3" s="171" t="s">
        <v>275</v>
      </c>
      <c r="P3" s="170" t="s">
        <v>276</v>
      </c>
      <c r="Q3" s="170" t="s">
        <v>281</v>
      </c>
      <c r="R3" s="170" t="s">
        <v>277</v>
      </c>
      <c r="S3" s="170"/>
      <c r="T3" s="170"/>
      <c r="U3" s="170"/>
      <c r="V3" s="166" t="s">
        <v>278</v>
      </c>
      <c r="W3" s="166" t="s">
        <v>279</v>
      </c>
      <c r="X3" s="166" t="s">
        <v>280</v>
      </c>
    </row>
    <row r="4" spans="2:24" x14ac:dyDescent="0.3">
      <c r="B4" s="128">
        <v>1</v>
      </c>
      <c r="C4" s="128">
        <v>63</v>
      </c>
      <c r="D4" s="172" t="s">
        <v>251</v>
      </c>
      <c r="E4" s="173" t="s">
        <v>285</v>
      </c>
      <c r="F4" s="174"/>
      <c r="G4" s="128" t="s">
        <v>458</v>
      </c>
      <c r="H4" s="129">
        <v>131</v>
      </c>
      <c r="I4" s="129">
        <v>38</v>
      </c>
      <c r="J4" s="175">
        <v>38235</v>
      </c>
      <c r="K4" s="140">
        <v>2.3736000000000002</v>
      </c>
      <c r="L4" s="176" t="s">
        <v>459</v>
      </c>
      <c r="M4" s="140">
        <v>2324</v>
      </c>
      <c r="N4" s="177">
        <v>16.47</v>
      </c>
      <c r="O4" s="178">
        <v>1307.07</v>
      </c>
      <c r="P4" s="177">
        <v>4195.33</v>
      </c>
      <c r="Q4" s="177">
        <v>1517.96</v>
      </c>
      <c r="R4" s="179">
        <v>979.11</v>
      </c>
      <c r="S4" s="179">
        <f>M4/K4</f>
        <v>979.10347152005386</v>
      </c>
      <c r="T4" s="179">
        <f>ABS(R4-S4)</f>
        <v>6.5284799461551302E-3</v>
      </c>
      <c r="U4" s="179"/>
      <c r="V4" s="179" t="s">
        <v>460</v>
      </c>
      <c r="W4" s="179">
        <v>11</v>
      </c>
      <c r="X4" s="179">
        <v>1293</v>
      </c>
    </row>
    <row r="5" spans="2:24" x14ac:dyDescent="0.3">
      <c r="B5" s="95">
        <v>2</v>
      </c>
      <c r="C5" s="95">
        <v>70</v>
      </c>
      <c r="D5" s="153" t="s">
        <v>464</v>
      </c>
      <c r="E5" s="173" t="s">
        <v>285</v>
      </c>
      <c r="F5" s="180" t="s">
        <v>465</v>
      </c>
      <c r="G5" s="128" t="s">
        <v>458</v>
      </c>
      <c r="H5" s="131">
        <v>65</v>
      </c>
      <c r="I5" s="131">
        <v>18</v>
      </c>
      <c r="J5" s="130">
        <v>1.9866999999999999</v>
      </c>
      <c r="K5" s="130">
        <v>1.3552999999999999</v>
      </c>
      <c r="L5" s="128" t="s">
        <v>459</v>
      </c>
      <c r="M5" s="1">
        <v>959</v>
      </c>
      <c r="N5" s="181">
        <v>278.73</v>
      </c>
      <c r="O5" s="182">
        <v>1474.71</v>
      </c>
      <c r="P5" s="181">
        <v>3447.52</v>
      </c>
      <c r="Q5" s="181">
        <v>1019.67</v>
      </c>
      <c r="R5" s="150">
        <v>707.59</v>
      </c>
      <c r="S5" s="179">
        <f t="shared" ref="S5:S68" si="0">M5/K5</f>
        <v>707.5924149634767</v>
      </c>
      <c r="T5" s="179">
        <f t="shared" ref="T5:T68" si="1">ABS(R5-S5)</f>
        <v>2.4149634766672534E-3</v>
      </c>
      <c r="U5" s="179"/>
      <c r="V5" s="179" t="s">
        <v>460</v>
      </c>
      <c r="W5" s="179">
        <v>19</v>
      </c>
      <c r="X5" s="179">
        <v>1293</v>
      </c>
    </row>
    <row r="6" spans="2:24" x14ac:dyDescent="0.3">
      <c r="B6" s="95">
        <v>3</v>
      </c>
      <c r="C6" s="95">
        <v>77</v>
      </c>
      <c r="D6" s="172" t="s">
        <v>466</v>
      </c>
      <c r="E6" s="173" t="s">
        <v>285</v>
      </c>
      <c r="F6" s="183" t="s">
        <v>467</v>
      </c>
      <c r="G6" s="128" t="s">
        <v>458</v>
      </c>
      <c r="H6" s="129">
        <v>34</v>
      </c>
      <c r="I6" s="131">
        <v>9</v>
      </c>
      <c r="J6" s="129">
        <v>1.1503000000000001</v>
      </c>
      <c r="K6" s="129">
        <v>0.86170000000000002</v>
      </c>
      <c r="L6" s="128" t="s">
        <v>459</v>
      </c>
      <c r="M6" s="1">
        <v>473</v>
      </c>
      <c r="N6" s="181">
        <v>63.56</v>
      </c>
      <c r="O6" s="182">
        <v>653.58000000000004</v>
      </c>
      <c r="P6" s="181">
        <v>1776.03</v>
      </c>
      <c r="Q6" s="177">
        <v>571.17999999999995</v>
      </c>
      <c r="R6" s="150">
        <v>548.88</v>
      </c>
      <c r="S6" s="179">
        <f t="shared" si="0"/>
        <v>548.91493559243349</v>
      </c>
      <c r="T6" s="179">
        <f t="shared" si="1"/>
        <v>3.4935592433498641E-2</v>
      </c>
      <c r="U6" s="179"/>
      <c r="V6" s="179" t="s">
        <v>460</v>
      </c>
      <c r="W6" s="179">
        <v>23</v>
      </c>
      <c r="X6" s="179">
        <v>1293</v>
      </c>
    </row>
    <row r="7" spans="2:24" x14ac:dyDescent="0.3">
      <c r="B7" s="95">
        <v>4</v>
      </c>
      <c r="C7" s="95">
        <v>80</v>
      </c>
      <c r="D7" s="153" t="s">
        <v>468</v>
      </c>
      <c r="E7" s="173" t="s">
        <v>285</v>
      </c>
      <c r="F7" s="180" t="s">
        <v>469</v>
      </c>
      <c r="G7" s="128" t="s">
        <v>458</v>
      </c>
      <c r="H7" s="131">
        <v>22</v>
      </c>
      <c r="I7" s="131">
        <v>8</v>
      </c>
      <c r="J7" s="130">
        <v>0.59989999999999999</v>
      </c>
      <c r="K7" s="130">
        <v>0.42880000000000001</v>
      </c>
      <c r="L7" s="128" t="s">
        <v>459</v>
      </c>
      <c r="M7" s="1">
        <v>385</v>
      </c>
      <c r="N7" s="181">
        <v>196.4</v>
      </c>
      <c r="O7" s="182">
        <v>915.39</v>
      </c>
      <c r="P7" s="181">
        <v>2069.36</v>
      </c>
      <c r="Q7" s="181">
        <v>599.86</v>
      </c>
      <c r="R7" s="150">
        <v>897.94</v>
      </c>
      <c r="S7" s="179">
        <f t="shared" si="0"/>
        <v>897.8544776119403</v>
      </c>
      <c r="T7" s="179">
        <f t="shared" si="1"/>
        <v>8.5522388059757759E-2</v>
      </c>
      <c r="U7" s="179"/>
      <c r="V7" s="179" t="s">
        <v>460</v>
      </c>
      <c r="W7" s="179">
        <v>19</v>
      </c>
      <c r="X7" s="179">
        <v>192</v>
      </c>
    </row>
    <row r="8" spans="2:24" x14ac:dyDescent="0.3">
      <c r="B8" s="139">
        <v>5</v>
      </c>
      <c r="C8" s="7">
        <v>81</v>
      </c>
      <c r="D8" s="6" t="s">
        <v>470</v>
      </c>
      <c r="E8" s="173" t="s">
        <v>285</v>
      </c>
      <c r="F8" s="184" t="s">
        <v>471</v>
      </c>
      <c r="G8" s="128" t="s">
        <v>458</v>
      </c>
      <c r="H8" s="2">
        <v>9</v>
      </c>
      <c r="I8" s="1">
        <v>3</v>
      </c>
      <c r="J8" s="5">
        <v>0.23649999999999999</v>
      </c>
      <c r="K8" s="8">
        <v>6.4799999999999996E-2</v>
      </c>
      <c r="L8" s="128" t="s">
        <v>459</v>
      </c>
      <c r="M8" s="1">
        <v>101</v>
      </c>
      <c r="N8" s="181">
        <v>94.73</v>
      </c>
      <c r="O8" s="182">
        <v>5889.87</v>
      </c>
      <c r="P8" s="181">
        <v>18535.990000000002</v>
      </c>
      <c r="Q8" s="177">
        <v>6632.54</v>
      </c>
      <c r="R8" s="150">
        <v>1558.64</v>
      </c>
      <c r="S8" s="179">
        <f t="shared" si="0"/>
        <v>1558.641975308642</v>
      </c>
      <c r="T8" s="179">
        <f t="shared" si="1"/>
        <v>1.9753086419314059E-3</v>
      </c>
      <c r="U8" s="179"/>
      <c r="V8" s="179" t="s">
        <v>460</v>
      </c>
      <c r="W8" s="179">
        <v>4.5</v>
      </c>
      <c r="X8" s="179">
        <v>30</v>
      </c>
    </row>
    <row r="9" spans="2:24" x14ac:dyDescent="0.3">
      <c r="B9" s="139">
        <v>6</v>
      </c>
      <c r="C9" s="7">
        <v>84</v>
      </c>
      <c r="D9" s="6" t="s">
        <v>395</v>
      </c>
      <c r="E9" s="173" t="s">
        <v>285</v>
      </c>
      <c r="F9" s="184" t="s">
        <v>472</v>
      </c>
      <c r="G9" s="128" t="s">
        <v>458</v>
      </c>
      <c r="H9" s="2">
        <v>32</v>
      </c>
      <c r="I9" s="1">
        <v>10</v>
      </c>
      <c r="J9" s="5">
        <v>0.73229999999999995</v>
      </c>
      <c r="K9" s="8">
        <v>0.50463996241043108</v>
      </c>
      <c r="L9" s="128" t="s">
        <v>459</v>
      </c>
      <c r="M9" s="1">
        <v>1074</v>
      </c>
      <c r="N9" s="181">
        <v>6.3</v>
      </c>
      <c r="O9" s="182">
        <v>1501.47</v>
      </c>
      <c r="P9" s="181">
        <v>5666.15</v>
      </c>
      <c r="Q9" s="177">
        <v>2089.96</v>
      </c>
      <c r="R9" s="150">
        <v>2128.25</v>
      </c>
      <c r="S9" s="179">
        <f t="shared" si="0"/>
        <v>2128.25</v>
      </c>
      <c r="T9" s="179">
        <f t="shared" si="1"/>
        <v>0</v>
      </c>
      <c r="U9" s="185">
        <f>M9/R9</f>
        <v>0.50463996241043108</v>
      </c>
      <c r="V9" s="179" t="s">
        <v>460</v>
      </c>
      <c r="W9" s="179">
        <v>6</v>
      </c>
      <c r="X9" s="179">
        <v>250</v>
      </c>
    </row>
    <row r="10" spans="2:24" x14ac:dyDescent="0.3">
      <c r="B10" s="139">
        <v>7</v>
      </c>
      <c r="C10" s="7">
        <v>91</v>
      </c>
      <c r="D10" s="6" t="s">
        <v>473</v>
      </c>
      <c r="E10" s="173" t="s">
        <v>285</v>
      </c>
      <c r="F10" s="184" t="s">
        <v>474</v>
      </c>
      <c r="G10" s="128" t="s">
        <v>458</v>
      </c>
      <c r="H10" s="2">
        <v>32</v>
      </c>
      <c r="I10" s="1">
        <v>10</v>
      </c>
      <c r="J10" s="5">
        <v>0.73229999999999995</v>
      </c>
      <c r="K10" s="8">
        <v>0.50463996241043108</v>
      </c>
      <c r="L10" s="128" t="s">
        <v>459</v>
      </c>
      <c r="M10" s="1">
        <v>1074</v>
      </c>
      <c r="N10" s="181">
        <v>6.3</v>
      </c>
      <c r="O10" s="186">
        <v>1501.47</v>
      </c>
      <c r="P10" s="150">
        <v>5666.15</v>
      </c>
      <c r="Q10" s="179">
        <v>2089.96</v>
      </c>
      <c r="R10" s="150">
        <v>2128.25</v>
      </c>
      <c r="S10" s="179">
        <f t="shared" si="0"/>
        <v>2128.25</v>
      </c>
      <c r="T10" s="179">
        <f t="shared" si="1"/>
        <v>0</v>
      </c>
      <c r="U10" s="179"/>
      <c r="V10" s="179" t="s">
        <v>460</v>
      </c>
      <c r="W10" s="179">
        <v>6</v>
      </c>
      <c r="X10" s="179">
        <v>250</v>
      </c>
    </row>
    <row r="11" spans="2:24" x14ac:dyDescent="0.3">
      <c r="B11" s="139">
        <v>8</v>
      </c>
      <c r="C11" s="7">
        <v>93</v>
      </c>
      <c r="D11" s="6" t="s">
        <v>475</v>
      </c>
      <c r="E11" s="173" t="s">
        <v>285</v>
      </c>
      <c r="F11" s="184" t="s">
        <v>476</v>
      </c>
      <c r="G11" s="128" t="s">
        <v>458</v>
      </c>
      <c r="H11" s="2">
        <v>34</v>
      </c>
      <c r="I11" s="1">
        <v>16</v>
      </c>
      <c r="J11" s="5">
        <v>1.1045</v>
      </c>
      <c r="K11" s="8">
        <v>0.51359999999999995</v>
      </c>
      <c r="L11" s="128" t="s">
        <v>459</v>
      </c>
      <c r="M11" s="1">
        <v>291</v>
      </c>
      <c r="N11" s="181" t="s">
        <v>460</v>
      </c>
      <c r="O11" s="186">
        <v>544.91999999999996</v>
      </c>
      <c r="P11" s="150">
        <v>3120.71</v>
      </c>
      <c r="Q11" s="179">
        <v>1681.78</v>
      </c>
      <c r="R11" s="150">
        <v>566.55999999999995</v>
      </c>
      <c r="S11" s="179">
        <f t="shared" si="0"/>
        <v>566.58878504672907</v>
      </c>
      <c r="T11" s="179">
        <f t="shared" si="1"/>
        <v>2.8785046729126407E-2</v>
      </c>
      <c r="U11" s="179"/>
      <c r="V11" s="179" t="s">
        <v>460</v>
      </c>
      <c r="W11" s="150">
        <v>13</v>
      </c>
      <c r="X11" s="150">
        <v>481</v>
      </c>
    </row>
    <row r="12" spans="2:24" x14ac:dyDescent="0.3">
      <c r="B12" s="139">
        <v>9</v>
      </c>
      <c r="C12" s="7">
        <v>98</v>
      </c>
      <c r="D12" s="7" t="s">
        <v>477</v>
      </c>
      <c r="E12" s="173" t="s">
        <v>285</v>
      </c>
      <c r="F12" s="184" t="s">
        <v>478</v>
      </c>
      <c r="G12" s="128" t="s">
        <v>458</v>
      </c>
      <c r="H12" s="2">
        <v>1</v>
      </c>
      <c r="I12" s="1">
        <v>1</v>
      </c>
      <c r="J12" s="5">
        <v>2.4500000000000001E-2</v>
      </c>
      <c r="K12" s="8">
        <v>1E-3</v>
      </c>
      <c r="L12" s="128" t="s">
        <v>459</v>
      </c>
      <c r="M12" s="1">
        <v>7</v>
      </c>
      <c r="N12" s="181">
        <v>3285</v>
      </c>
      <c r="O12" s="186">
        <v>7000</v>
      </c>
      <c r="P12" s="150">
        <v>13150</v>
      </c>
      <c r="Q12" s="179">
        <v>2645.75</v>
      </c>
      <c r="R12" s="150">
        <v>7000</v>
      </c>
      <c r="S12" s="179">
        <f t="shared" si="0"/>
        <v>7000</v>
      </c>
      <c r="T12" s="179">
        <f t="shared" si="1"/>
        <v>0</v>
      </c>
      <c r="U12" s="179"/>
      <c r="V12" s="179" t="s">
        <v>460</v>
      </c>
      <c r="W12" s="150">
        <v>84</v>
      </c>
      <c r="X12" s="150">
        <v>481</v>
      </c>
    </row>
    <row r="13" spans="2:24" x14ac:dyDescent="0.3">
      <c r="B13" s="139">
        <v>10</v>
      </c>
      <c r="C13" s="7">
        <v>100</v>
      </c>
      <c r="D13" s="6" t="s">
        <v>479</v>
      </c>
      <c r="E13" s="173" t="s">
        <v>285</v>
      </c>
      <c r="F13" s="184" t="s">
        <v>480</v>
      </c>
      <c r="G13" s="128" t="s">
        <v>458</v>
      </c>
      <c r="H13" s="2">
        <v>33</v>
      </c>
      <c r="I13" s="1">
        <v>16</v>
      </c>
      <c r="J13" s="5">
        <v>1.08</v>
      </c>
      <c r="K13" s="8">
        <v>0.51259999999999994</v>
      </c>
      <c r="L13" s="128" t="s">
        <v>459</v>
      </c>
      <c r="M13" s="1">
        <v>284</v>
      </c>
      <c r="N13" s="181" t="s">
        <v>460</v>
      </c>
      <c r="O13" s="182">
        <v>535.72</v>
      </c>
      <c r="P13" s="181">
        <v>3099.15</v>
      </c>
      <c r="Q13" s="177">
        <v>1684.1</v>
      </c>
      <c r="R13" s="150">
        <v>554.01</v>
      </c>
      <c r="S13" s="179">
        <f t="shared" si="0"/>
        <v>554.03823644166994</v>
      </c>
      <c r="T13" s="179">
        <f t="shared" si="1"/>
        <v>2.8236441669946544E-2</v>
      </c>
      <c r="U13" s="179"/>
      <c r="V13" s="179" t="s">
        <v>460</v>
      </c>
      <c r="W13" s="179">
        <v>11</v>
      </c>
      <c r="X13" s="179">
        <v>481</v>
      </c>
    </row>
    <row r="14" spans="2:24" x14ac:dyDescent="0.3">
      <c r="B14" s="139">
        <v>11</v>
      </c>
      <c r="C14" s="7">
        <v>105</v>
      </c>
      <c r="D14" s="6" t="s">
        <v>481</v>
      </c>
      <c r="E14" s="187" t="s">
        <v>482</v>
      </c>
      <c r="F14" s="184"/>
      <c r="G14" s="128" t="s">
        <v>458</v>
      </c>
      <c r="H14" s="2">
        <v>88</v>
      </c>
      <c r="I14" s="1">
        <v>24</v>
      </c>
      <c r="J14" s="5">
        <v>2.7061999999999999</v>
      </c>
      <c r="K14" s="8">
        <v>1.9035</v>
      </c>
      <c r="L14" s="128" t="s">
        <v>459</v>
      </c>
      <c r="M14" s="1">
        <v>3345</v>
      </c>
      <c r="N14" s="181">
        <v>412.2</v>
      </c>
      <c r="O14" s="182">
        <v>2303.4499999999998</v>
      </c>
      <c r="P14" s="181">
        <v>5454.88</v>
      </c>
      <c r="Q14" s="177">
        <v>1624.29</v>
      </c>
      <c r="R14" s="150">
        <v>1757.29</v>
      </c>
      <c r="S14" s="179">
        <f t="shared" si="0"/>
        <v>1757.2892040977147</v>
      </c>
      <c r="T14" s="179">
        <f t="shared" si="1"/>
        <v>7.9590228529013984E-4</v>
      </c>
      <c r="U14" s="179"/>
      <c r="V14" s="179" t="s">
        <v>460</v>
      </c>
      <c r="W14" s="179">
        <v>17</v>
      </c>
      <c r="X14" s="179">
        <v>1500</v>
      </c>
    </row>
    <row r="15" spans="2:24" x14ac:dyDescent="0.3">
      <c r="B15" s="139">
        <v>12</v>
      </c>
      <c r="C15" s="7">
        <v>112</v>
      </c>
      <c r="D15" s="6" t="s">
        <v>483</v>
      </c>
      <c r="E15" s="187" t="s">
        <v>482</v>
      </c>
      <c r="F15" s="184" t="s">
        <v>484</v>
      </c>
      <c r="G15" s="128" t="s">
        <v>458</v>
      </c>
      <c r="H15" s="2">
        <v>43</v>
      </c>
      <c r="I15" s="1">
        <v>13</v>
      </c>
      <c r="J15" s="5">
        <v>1.5255000000000001</v>
      </c>
      <c r="K15" s="8">
        <v>1.002818706599178</v>
      </c>
      <c r="L15" s="128" t="s">
        <v>459</v>
      </c>
      <c r="M15" s="1">
        <v>2003</v>
      </c>
      <c r="N15" s="181">
        <v>29.73</v>
      </c>
      <c r="O15" s="186">
        <v>1771.09</v>
      </c>
      <c r="P15" s="150">
        <v>5556.56</v>
      </c>
      <c r="Q15" s="179">
        <v>1984.05</v>
      </c>
      <c r="R15" s="150">
        <v>1997.37</v>
      </c>
      <c r="S15" s="179">
        <f t="shared" si="0"/>
        <v>1997.3699999999997</v>
      </c>
      <c r="T15" s="179">
        <f t="shared" si="1"/>
        <v>2.2737367544323206E-13</v>
      </c>
      <c r="U15" s="188">
        <f>M15/R15</f>
        <v>1.002818706599178</v>
      </c>
      <c r="V15" s="179" t="s">
        <v>460</v>
      </c>
      <c r="W15" s="179">
        <v>14</v>
      </c>
      <c r="X15" s="179">
        <v>565</v>
      </c>
    </row>
    <row r="16" spans="2:24" x14ac:dyDescent="0.3">
      <c r="B16" s="139">
        <v>13</v>
      </c>
      <c r="C16" s="7">
        <v>118</v>
      </c>
      <c r="D16" s="6" t="s">
        <v>485</v>
      </c>
      <c r="E16" s="187" t="s">
        <v>482</v>
      </c>
      <c r="F16" s="184" t="s">
        <v>486</v>
      </c>
      <c r="G16" s="128" t="s">
        <v>458</v>
      </c>
      <c r="H16" s="2">
        <v>12</v>
      </c>
      <c r="I16" s="1">
        <v>4</v>
      </c>
      <c r="J16" s="5">
        <v>0.24840000000000001</v>
      </c>
      <c r="K16" s="8">
        <v>0.22713631709642113</v>
      </c>
      <c r="L16" s="128" t="s">
        <v>459</v>
      </c>
      <c r="M16" s="1">
        <v>193</v>
      </c>
      <c r="N16" s="189">
        <v>370.65</v>
      </c>
      <c r="O16" s="190">
        <v>876.98</v>
      </c>
      <c r="P16" s="189">
        <v>1557.67</v>
      </c>
      <c r="Q16" s="191">
        <v>368.4</v>
      </c>
      <c r="R16" s="150">
        <v>849.71</v>
      </c>
      <c r="S16" s="179">
        <f t="shared" si="0"/>
        <v>849.71</v>
      </c>
      <c r="T16" s="179">
        <f t="shared" si="1"/>
        <v>0</v>
      </c>
      <c r="U16" s="192">
        <f>M16/R16</f>
        <v>0.22713631709642113</v>
      </c>
      <c r="V16" s="179" t="s">
        <v>460</v>
      </c>
      <c r="W16" s="179">
        <v>5.0999999999999996</v>
      </c>
      <c r="X16" s="179">
        <v>68</v>
      </c>
    </row>
    <row r="17" spans="2:24" x14ac:dyDescent="0.3">
      <c r="B17" s="139">
        <v>14</v>
      </c>
      <c r="C17" s="7">
        <v>121</v>
      </c>
      <c r="D17" s="6" t="s">
        <v>487</v>
      </c>
      <c r="E17" s="187" t="s">
        <v>482</v>
      </c>
      <c r="F17" s="184" t="s">
        <v>488</v>
      </c>
      <c r="G17" s="128" t="s">
        <v>458</v>
      </c>
      <c r="H17" s="2">
        <v>26</v>
      </c>
      <c r="I17" s="1">
        <v>8</v>
      </c>
      <c r="J17" s="5">
        <v>1.0144</v>
      </c>
      <c r="K17" s="8">
        <v>0.62384398221760717</v>
      </c>
      <c r="L17" s="128" t="s">
        <v>459</v>
      </c>
      <c r="M17" s="1">
        <v>1538</v>
      </c>
      <c r="N17" s="189">
        <v>45.83</v>
      </c>
      <c r="O17" s="190">
        <v>2212.58</v>
      </c>
      <c r="P17" s="189">
        <v>6849.53</v>
      </c>
      <c r="Q17" s="191">
        <v>2418.88</v>
      </c>
      <c r="R17" s="150">
        <v>2465.36</v>
      </c>
      <c r="S17" s="179">
        <f t="shared" si="0"/>
        <v>2465.36</v>
      </c>
      <c r="T17" s="179">
        <f t="shared" si="1"/>
        <v>0</v>
      </c>
      <c r="U17" s="193">
        <f>M17/R17</f>
        <v>0.62384398221760717</v>
      </c>
      <c r="V17" s="179" t="s">
        <v>460</v>
      </c>
      <c r="W17" s="179">
        <v>14</v>
      </c>
      <c r="X17" s="179">
        <v>565</v>
      </c>
    </row>
    <row r="18" spans="2:24" x14ac:dyDescent="0.3">
      <c r="B18" s="139">
        <v>15</v>
      </c>
      <c r="C18" s="7">
        <v>123</v>
      </c>
      <c r="D18" s="6" t="s">
        <v>489</v>
      </c>
      <c r="E18" s="187" t="s">
        <v>482</v>
      </c>
      <c r="F18" s="184" t="s">
        <v>490</v>
      </c>
      <c r="G18" s="128" t="s">
        <v>458</v>
      </c>
      <c r="H18" s="2">
        <v>5</v>
      </c>
      <c r="I18" s="1">
        <v>1</v>
      </c>
      <c r="J18" s="5">
        <v>0.26279999999999998</v>
      </c>
      <c r="K18" s="8">
        <v>0.15183824760798936</v>
      </c>
      <c r="L18" s="128" t="s">
        <v>459</v>
      </c>
      <c r="M18" s="1">
        <v>272</v>
      </c>
      <c r="N18" s="189">
        <v>1616.53</v>
      </c>
      <c r="O18" s="190">
        <v>1791.38</v>
      </c>
      <c r="P18" s="189">
        <v>1980.64</v>
      </c>
      <c r="Q18" s="191">
        <v>108.62</v>
      </c>
      <c r="R18" s="150">
        <v>1791.38</v>
      </c>
      <c r="S18" s="179">
        <f t="shared" si="0"/>
        <v>1791.38</v>
      </c>
      <c r="T18" s="179">
        <f t="shared" si="1"/>
        <v>0</v>
      </c>
      <c r="U18" s="193">
        <f>M18/R18</f>
        <v>0.15183824760798936</v>
      </c>
      <c r="V18" s="179" t="s">
        <v>460</v>
      </c>
      <c r="W18" s="179">
        <v>19</v>
      </c>
      <c r="X18" s="179">
        <v>238</v>
      </c>
    </row>
    <row r="19" spans="2:24" x14ac:dyDescent="0.3">
      <c r="B19" s="139">
        <v>16</v>
      </c>
      <c r="C19" s="7">
        <v>126</v>
      </c>
      <c r="D19" s="6" t="s">
        <v>491</v>
      </c>
      <c r="E19" s="187" t="s">
        <v>482</v>
      </c>
      <c r="F19" s="184" t="s">
        <v>492</v>
      </c>
      <c r="G19" s="128" t="s">
        <v>458</v>
      </c>
      <c r="H19" s="2">
        <v>45</v>
      </c>
      <c r="I19" s="1">
        <v>14</v>
      </c>
      <c r="J19" s="5">
        <v>1.1807000000000001</v>
      </c>
      <c r="K19" s="8">
        <v>0.90069999999999995</v>
      </c>
      <c r="L19" s="128" t="s">
        <v>459</v>
      </c>
      <c r="M19" s="1">
        <v>1342</v>
      </c>
      <c r="N19" s="189">
        <v>959.8</v>
      </c>
      <c r="O19" s="190">
        <v>2687.16</v>
      </c>
      <c r="P19" s="189">
        <v>5122.26</v>
      </c>
      <c r="Q19" s="191">
        <v>1301.57</v>
      </c>
      <c r="R19" s="150">
        <v>1489.97</v>
      </c>
      <c r="S19" s="179">
        <f t="shared" si="0"/>
        <v>1489.9522593538361</v>
      </c>
      <c r="T19" s="179">
        <f t="shared" si="1"/>
        <v>1.7740646163929341E-2</v>
      </c>
      <c r="U19" s="179"/>
      <c r="V19" s="179" t="s">
        <v>460</v>
      </c>
      <c r="W19" s="179">
        <v>22</v>
      </c>
      <c r="X19" s="179">
        <v>1500</v>
      </c>
    </row>
    <row r="20" spans="2:24" x14ac:dyDescent="0.3">
      <c r="B20" s="139">
        <v>17</v>
      </c>
      <c r="C20" s="7">
        <v>133</v>
      </c>
      <c r="D20" s="6" t="s">
        <v>493</v>
      </c>
      <c r="E20" s="187" t="s">
        <v>482</v>
      </c>
      <c r="F20" s="184" t="s">
        <v>494</v>
      </c>
      <c r="G20" s="128" t="s">
        <v>458</v>
      </c>
      <c r="H20" s="1">
        <v>30</v>
      </c>
      <c r="I20" s="1">
        <v>10</v>
      </c>
      <c r="J20" s="5">
        <v>0.80369999999999997</v>
      </c>
      <c r="K20" s="5">
        <v>0.59027353145000205</v>
      </c>
      <c r="L20" s="128" t="s">
        <v>459</v>
      </c>
      <c r="M20" s="1">
        <v>724</v>
      </c>
      <c r="N20" s="150">
        <v>1165.28</v>
      </c>
      <c r="O20" s="186">
        <v>3117.46</v>
      </c>
      <c r="P20" s="150">
        <v>5836.88</v>
      </c>
      <c r="Q20" s="150">
        <v>1457.93</v>
      </c>
      <c r="R20" s="150">
        <v>1226.55</v>
      </c>
      <c r="S20" s="179">
        <f t="shared" si="0"/>
        <v>1226.55</v>
      </c>
      <c r="T20" s="179">
        <f t="shared" si="1"/>
        <v>0</v>
      </c>
      <c r="U20" s="194">
        <f>M20/R20</f>
        <v>0.59027353145000205</v>
      </c>
      <c r="V20" s="179" t="s">
        <v>460</v>
      </c>
      <c r="W20" s="150">
        <v>21</v>
      </c>
      <c r="X20" s="150">
        <v>1024</v>
      </c>
    </row>
    <row r="21" spans="2:24" x14ac:dyDescent="0.3">
      <c r="B21" s="139">
        <v>18</v>
      </c>
      <c r="C21" s="7">
        <v>136</v>
      </c>
      <c r="D21" s="6" t="s">
        <v>1290</v>
      </c>
      <c r="E21" s="187" t="s">
        <v>482</v>
      </c>
      <c r="F21" s="184" t="s">
        <v>495</v>
      </c>
      <c r="G21" s="128" t="s">
        <v>458</v>
      </c>
      <c r="H21" s="1">
        <v>15</v>
      </c>
      <c r="I21" s="1">
        <v>7</v>
      </c>
      <c r="J21" s="5">
        <v>0.377</v>
      </c>
      <c r="K21" s="5">
        <v>0.31040000000000001</v>
      </c>
      <c r="L21" s="128" t="s">
        <v>459</v>
      </c>
      <c r="M21" s="1">
        <v>618</v>
      </c>
      <c r="N21" s="150">
        <v>621.08000000000004</v>
      </c>
      <c r="O21" s="186">
        <v>2147.12</v>
      </c>
      <c r="P21" s="150">
        <v>4422.99</v>
      </c>
      <c r="Q21" s="150">
        <v>1200.56</v>
      </c>
      <c r="R21" s="150">
        <v>1990.88</v>
      </c>
      <c r="S21" s="179">
        <f t="shared" si="0"/>
        <v>1990.979381443299</v>
      </c>
      <c r="T21" s="179">
        <f t="shared" si="1"/>
        <v>9.9381443298852901E-2</v>
      </c>
      <c r="U21" s="179"/>
      <c r="V21" s="179" t="s">
        <v>460</v>
      </c>
      <c r="W21" s="150">
        <v>23</v>
      </c>
      <c r="X21" s="150">
        <v>1500</v>
      </c>
    </row>
    <row r="22" spans="2:24" x14ac:dyDescent="0.3">
      <c r="B22" s="139">
        <v>19</v>
      </c>
      <c r="C22" s="7">
        <v>141</v>
      </c>
      <c r="D22" s="6" t="s">
        <v>267</v>
      </c>
      <c r="E22" s="187" t="s">
        <v>496</v>
      </c>
      <c r="F22" s="184"/>
      <c r="G22" s="128" t="s">
        <v>458</v>
      </c>
      <c r="H22" s="1">
        <v>212</v>
      </c>
      <c r="I22" s="1">
        <v>21</v>
      </c>
      <c r="J22" s="5">
        <v>4.0911</v>
      </c>
      <c r="K22" s="5">
        <v>2.7825000000000002</v>
      </c>
      <c r="L22" s="128" t="s">
        <v>459</v>
      </c>
      <c r="M22" s="1">
        <v>731</v>
      </c>
      <c r="N22" s="150">
        <v>148.27000000000001</v>
      </c>
      <c r="O22" s="186">
        <v>807.26</v>
      </c>
      <c r="P22" s="150">
        <v>1900.2</v>
      </c>
      <c r="Q22" s="150">
        <v>564.07000000000005</v>
      </c>
      <c r="R22" s="150">
        <v>262.72000000000003</v>
      </c>
      <c r="S22" s="179">
        <f t="shared" si="0"/>
        <v>262.71338724168913</v>
      </c>
      <c r="T22" s="179">
        <f t="shared" si="1"/>
        <v>6.612758310893696E-3</v>
      </c>
      <c r="U22" s="179"/>
      <c r="V22" s="179" t="s">
        <v>460</v>
      </c>
      <c r="W22" s="150">
        <v>11</v>
      </c>
      <c r="X22" s="150">
        <v>136</v>
      </c>
    </row>
    <row r="23" spans="2:24" x14ac:dyDescent="0.3">
      <c r="B23" s="139">
        <v>20</v>
      </c>
      <c r="C23" s="7">
        <v>148</v>
      </c>
      <c r="D23" s="6" t="s">
        <v>257</v>
      </c>
      <c r="E23" s="187" t="s">
        <v>496</v>
      </c>
      <c r="F23" s="184" t="s">
        <v>465</v>
      </c>
      <c r="G23" s="128" t="s">
        <v>458</v>
      </c>
      <c r="H23" s="1">
        <v>156</v>
      </c>
      <c r="I23" s="1">
        <v>19</v>
      </c>
      <c r="J23" s="5">
        <v>3.2412000000000001</v>
      </c>
      <c r="K23" s="5">
        <v>2.129</v>
      </c>
      <c r="L23" s="128" t="s">
        <v>459</v>
      </c>
      <c r="M23" s="1">
        <v>666</v>
      </c>
      <c r="N23" s="150">
        <v>213.75</v>
      </c>
      <c r="O23" s="186">
        <v>1021.22</v>
      </c>
      <c r="P23" s="150">
        <v>2324.77</v>
      </c>
      <c r="Q23" s="150">
        <v>676.94</v>
      </c>
      <c r="R23" s="150">
        <v>312.82</v>
      </c>
      <c r="S23" s="179">
        <f t="shared" si="0"/>
        <v>312.82292155941758</v>
      </c>
      <c r="T23" s="179">
        <f t="shared" si="1"/>
        <v>2.9215594175866499E-3</v>
      </c>
      <c r="U23" s="179"/>
      <c r="V23" s="179" t="s">
        <v>460</v>
      </c>
      <c r="W23" s="150">
        <v>11</v>
      </c>
      <c r="X23" s="150">
        <v>136</v>
      </c>
    </row>
    <row r="24" spans="2:24" x14ac:dyDescent="0.3">
      <c r="B24" s="139">
        <v>21</v>
      </c>
      <c r="C24" s="7">
        <v>153</v>
      </c>
      <c r="D24" s="6" t="s">
        <v>497</v>
      </c>
      <c r="E24" s="187" t="s">
        <v>496</v>
      </c>
      <c r="F24" s="184" t="s">
        <v>498</v>
      </c>
      <c r="G24" s="128" t="s">
        <v>458</v>
      </c>
      <c r="H24" s="1">
        <v>4</v>
      </c>
      <c r="I24" s="1">
        <v>1</v>
      </c>
      <c r="J24" s="7">
        <v>0.1971</v>
      </c>
      <c r="K24" s="7">
        <v>0.14599999999999999</v>
      </c>
      <c r="L24" s="128" t="s">
        <v>459</v>
      </c>
      <c r="M24" s="1">
        <v>13</v>
      </c>
      <c r="N24" s="181">
        <v>52.65</v>
      </c>
      <c r="O24" s="182">
        <v>89.03</v>
      </c>
      <c r="P24" s="181">
        <v>141.53</v>
      </c>
      <c r="Q24" s="177">
        <v>24.69</v>
      </c>
      <c r="R24" s="150">
        <v>89.03</v>
      </c>
      <c r="S24" s="179">
        <f t="shared" si="0"/>
        <v>89.041095890410958</v>
      </c>
      <c r="T24" s="179">
        <f t="shared" si="1"/>
        <v>1.1095890410956599E-2</v>
      </c>
      <c r="U24" s="179"/>
      <c r="V24" s="179" t="s">
        <v>460</v>
      </c>
      <c r="W24" s="179">
        <v>41</v>
      </c>
      <c r="X24" s="179">
        <v>136</v>
      </c>
    </row>
    <row r="25" spans="2:24" x14ac:dyDescent="0.3">
      <c r="B25" s="139">
        <v>22</v>
      </c>
      <c r="C25" s="7">
        <v>154</v>
      </c>
      <c r="D25" s="6" t="s">
        <v>499</v>
      </c>
      <c r="E25" s="187" t="s">
        <v>496</v>
      </c>
      <c r="F25" s="184" t="s">
        <v>500</v>
      </c>
      <c r="G25" s="128" t="s">
        <v>458</v>
      </c>
      <c r="H25" s="1">
        <v>10</v>
      </c>
      <c r="I25" s="1">
        <v>2</v>
      </c>
      <c r="J25" s="7">
        <v>0.17519999999999999</v>
      </c>
      <c r="K25" s="7">
        <v>8.5300000000000001E-2</v>
      </c>
      <c r="L25" s="128" t="s">
        <v>459</v>
      </c>
      <c r="M25" s="2">
        <v>45</v>
      </c>
      <c r="N25" s="181">
        <v>146.51</v>
      </c>
      <c r="O25" s="182">
        <v>725.32</v>
      </c>
      <c r="P25" s="181">
        <v>1667.16</v>
      </c>
      <c r="Q25" s="177">
        <v>488.35</v>
      </c>
      <c r="R25" s="150">
        <v>527.64</v>
      </c>
      <c r="S25" s="179">
        <f t="shared" si="0"/>
        <v>527.54982415005861</v>
      </c>
      <c r="T25" s="179">
        <f t="shared" si="1"/>
        <v>9.0175849941374508E-2</v>
      </c>
      <c r="U25" s="179"/>
      <c r="V25" s="179" t="s">
        <v>460</v>
      </c>
      <c r="W25" s="179">
        <v>18</v>
      </c>
      <c r="X25" s="179">
        <v>178</v>
      </c>
    </row>
    <row r="26" spans="2:24" x14ac:dyDescent="0.3">
      <c r="B26" s="139">
        <v>23</v>
      </c>
      <c r="C26" s="7">
        <v>155</v>
      </c>
      <c r="D26" s="6" t="s">
        <v>501</v>
      </c>
      <c r="E26" s="187" t="s">
        <v>496</v>
      </c>
      <c r="F26" s="184" t="s">
        <v>502</v>
      </c>
      <c r="G26" s="128" t="s">
        <v>458</v>
      </c>
      <c r="H26" s="1">
        <v>6</v>
      </c>
      <c r="I26" s="1">
        <v>1</v>
      </c>
      <c r="J26" s="7">
        <v>0.1051</v>
      </c>
      <c r="K26" s="7">
        <v>6.0100000000000001E-2</v>
      </c>
      <c r="L26" s="128" t="s">
        <v>459</v>
      </c>
      <c r="M26" s="1">
        <v>1</v>
      </c>
      <c r="N26" s="181">
        <v>0.83</v>
      </c>
      <c r="O26" s="182">
        <v>16.649999999999999</v>
      </c>
      <c r="P26" s="181">
        <v>78.98</v>
      </c>
      <c r="Q26" s="177">
        <v>16.649999999999999</v>
      </c>
      <c r="R26" s="150">
        <v>16.649999999999999</v>
      </c>
      <c r="S26" s="179">
        <f t="shared" si="0"/>
        <v>16.638935108153078</v>
      </c>
      <c r="T26" s="179">
        <f t="shared" si="1"/>
        <v>1.1064891846920943E-2</v>
      </c>
      <c r="U26" s="179"/>
      <c r="V26" s="179" t="s">
        <v>460</v>
      </c>
      <c r="W26" s="179" t="s">
        <v>460</v>
      </c>
      <c r="X26" s="179" t="s">
        <v>460</v>
      </c>
    </row>
    <row r="27" spans="2:24" x14ac:dyDescent="0.3">
      <c r="B27" s="139">
        <v>24</v>
      </c>
      <c r="C27" s="7">
        <v>156</v>
      </c>
      <c r="D27" s="6" t="s">
        <v>503</v>
      </c>
      <c r="E27" s="187" t="s">
        <v>496</v>
      </c>
      <c r="F27" s="184" t="s">
        <v>504</v>
      </c>
      <c r="G27" s="128" t="s">
        <v>458</v>
      </c>
      <c r="H27" s="1">
        <v>5</v>
      </c>
      <c r="I27" s="5">
        <v>2</v>
      </c>
      <c r="J27" s="8">
        <v>0.1052</v>
      </c>
      <c r="K27" s="5">
        <v>8.7599999999999997E-2</v>
      </c>
      <c r="L27" s="128" t="s">
        <v>459</v>
      </c>
      <c r="M27" s="1">
        <v>57</v>
      </c>
      <c r="N27" s="150">
        <v>333.26</v>
      </c>
      <c r="O27" s="186">
        <v>681.75</v>
      </c>
      <c r="P27" s="150">
        <v>1130.67</v>
      </c>
      <c r="Q27" s="150">
        <v>246.14</v>
      </c>
      <c r="R27" s="181">
        <v>650.67999999999995</v>
      </c>
      <c r="S27" s="179">
        <f t="shared" si="0"/>
        <v>650.68493150684935</v>
      </c>
      <c r="T27" s="179">
        <f t="shared" si="1"/>
        <v>4.9315068494024672E-3</v>
      </c>
      <c r="U27" s="179"/>
      <c r="V27" s="179" t="s">
        <v>460</v>
      </c>
      <c r="W27" s="150">
        <v>11</v>
      </c>
      <c r="X27" s="150">
        <v>45</v>
      </c>
    </row>
    <row r="28" spans="2:24" x14ac:dyDescent="0.3">
      <c r="B28" s="139">
        <v>25</v>
      </c>
      <c r="C28" s="7">
        <v>157</v>
      </c>
      <c r="D28" s="6" t="s">
        <v>505</v>
      </c>
      <c r="E28" s="187" t="s">
        <v>496</v>
      </c>
      <c r="F28" s="184" t="s">
        <v>506</v>
      </c>
      <c r="G28" s="128" t="s">
        <v>458</v>
      </c>
      <c r="H28" s="1">
        <v>4</v>
      </c>
      <c r="I28" s="5">
        <v>1</v>
      </c>
      <c r="J28" s="5">
        <v>0.1971</v>
      </c>
      <c r="K28" s="5">
        <v>0.14599999999999999</v>
      </c>
      <c r="L28" s="128" t="s">
        <v>459</v>
      </c>
      <c r="M28" s="1">
        <v>1</v>
      </c>
      <c r="N28" s="150">
        <v>0.34</v>
      </c>
      <c r="O28" s="186">
        <v>6.85</v>
      </c>
      <c r="P28" s="150">
        <v>32.5</v>
      </c>
      <c r="Q28" s="150">
        <v>6.85</v>
      </c>
      <c r="R28" s="181">
        <v>6.85</v>
      </c>
      <c r="S28" s="179">
        <f t="shared" si="0"/>
        <v>6.8493150684931514</v>
      </c>
      <c r="T28" s="179">
        <f t="shared" si="1"/>
        <v>6.8493150684822979E-4</v>
      </c>
      <c r="U28" s="179"/>
      <c r="V28" s="179" t="s">
        <v>460</v>
      </c>
      <c r="W28" s="150">
        <v>25</v>
      </c>
      <c r="X28" s="150">
        <v>25</v>
      </c>
    </row>
    <row r="29" spans="2:24" x14ac:dyDescent="0.3">
      <c r="B29" s="139">
        <v>26</v>
      </c>
      <c r="C29" s="7">
        <v>158</v>
      </c>
      <c r="D29" s="6" t="s">
        <v>507</v>
      </c>
      <c r="E29" s="187" t="s">
        <v>496</v>
      </c>
      <c r="F29" s="184" t="s">
        <v>508</v>
      </c>
      <c r="G29" s="128" t="s">
        <v>458</v>
      </c>
      <c r="H29" s="1">
        <v>6</v>
      </c>
      <c r="I29" s="5">
        <v>1</v>
      </c>
      <c r="J29" s="5">
        <v>0.1051</v>
      </c>
      <c r="K29" s="5">
        <v>9.7786469908436313E-2</v>
      </c>
      <c r="L29" s="128" t="s">
        <v>459</v>
      </c>
      <c r="M29" s="1">
        <v>44</v>
      </c>
      <c r="N29" s="150">
        <v>344.48</v>
      </c>
      <c r="O29" s="186">
        <v>449.96</v>
      </c>
      <c r="P29" s="150">
        <v>578.53</v>
      </c>
      <c r="Q29" s="150">
        <v>67.83</v>
      </c>
      <c r="R29" s="181">
        <v>449.96</v>
      </c>
      <c r="S29" s="179">
        <f t="shared" si="0"/>
        <v>449.96</v>
      </c>
      <c r="T29" s="179">
        <f t="shared" si="1"/>
        <v>0</v>
      </c>
      <c r="U29" s="192">
        <f>M29/R29</f>
        <v>9.7786469908436313E-2</v>
      </c>
      <c r="V29" s="179" t="s">
        <v>460</v>
      </c>
      <c r="W29" s="150">
        <v>8.4</v>
      </c>
      <c r="X29" s="150">
        <v>37</v>
      </c>
    </row>
    <row r="30" spans="2:24" x14ac:dyDescent="0.3">
      <c r="B30" s="139">
        <v>27</v>
      </c>
      <c r="C30" s="7">
        <v>159</v>
      </c>
      <c r="D30" s="6" t="s">
        <v>509</v>
      </c>
      <c r="E30" s="187" t="s">
        <v>496</v>
      </c>
      <c r="F30" s="184" t="s">
        <v>510</v>
      </c>
      <c r="G30" s="128" t="s">
        <v>458</v>
      </c>
      <c r="H30" s="1">
        <v>22</v>
      </c>
      <c r="I30" s="5">
        <v>4</v>
      </c>
      <c r="J30" s="5">
        <v>0.19270000000000001</v>
      </c>
      <c r="K30" s="5">
        <v>7.2300000000000003E-2</v>
      </c>
      <c r="L30" s="128" t="s">
        <v>459</v>
      </c>
      <c r="M30" s="1">
        <v>2</v>
      </c>
      <c r="N30" s="150">
        <v>3.72</v>
      </c>
      <c r="O30" s="186">
        <v>26.46</v>
      </c>
      <c r="P30" s="150">
        <v>66.489999999999995</v>
      </c>
      <c r="Q30" s="150">
        <v>20.52</v>
      </c>
      <c r="R30" s="181">
        <v>27.67</v>
      </c>
      <c r="S30" s="179">
        <f t="shared" si="0"/>
        <v>27.662517289073303</v>
      </c>
      <c r="T30" s="179">
        <f t="shared" si="1"/>
        <v>7.4827109266983882E-3</v>
      </c>
      <c r="U30" s="179"/>
      <c r="V30" s="179" t="s">
        <v>460</v>
      </c>
      <c r="W30" s="179" t="s">
        <v>460</v>
      </c>
      <c r="X30" s="179" t="s">
        <v>460</v>
      </c>
    </row>
    <row r="31" spans="2:24" x14ac:dyDescent="0.3">
      <c r="B31" s="139">
        <v>28</v>
      </c>
      <c r="C31" s="7">
        <v>160</v>
      </c>
      <c r="D31" s="6" t="s">
        <v>511</v>
      </c>
      <c r="E31" s="187" t="s">
        <v>496</v>
      </c>
      <c r="F31" s="184" t="s">
        <v>512</v>
      </c>
      <c r="G31" s="128" t="s">
        <v>458</v>
      </c>
      <c r="H31" s="1">
        <v>7</v>
      </c>
      <c r="I31" s="5">
        <v>2</v>
      </c>
      <c r="J31" s="5">
        <v>0.1226</v>
      </c>
      <c r="K31" s="5">
        <v>9.4700000000000006E-2</v>
      </c>
      <c r="L31" s="128" t="s">
        <v>459</v>
      </c>
      <c r="M31" s="1">
        <v>9</v>
      </c>
      <c r="N31" s="150">
        <v>1.83</v>
      </c>
      <c r="O31" s="186">
        <v>74.42</v>
      </c>
      <c r="P31" s="150">
        <v>228.27</v>
      </c>
      <c r="Q31" s="150">
        <v>79.83</v>
      </c>
      <c r="R31" s="181">
        <v>95.02</v>
      </c>
      <c r="S31" s="179">
        <f t="shared" si="0"/>
        <v>95.036958817317839</v>
      </c>
      <c r="T31" s="179">
        <f t="shared" si="1"/>
        <v>1.6958817317842545E-2</v>
      </c>
      <c r="U31" s="179"/>
      <c r="V31" s="179" t="s">
        <v>460</v>
      </c>
      <c r="W31" s="150">
        <v>4.9000000000000004</v>
      </c>
      <c r="X31" s="150">
        <v>16</v>
      </c>
    </row>
    <row r="32" spans="2:24" x14ac:dyDescent="0.3">
      <c r="B32" s="139">
        <v>29</v>
      </c>
      <c r="C32" s="7">
        <v>161</v>
      </c>
      <c r="D32" s="6" t="s">
        <v>513</v>
      </c>
      <c r="E32" s="187" t="s">
        <v>496</v>
      </c>
      <c r="F32" s="184" t="s">
        <v>514</v>
      </c>
      <c r="G32" s="128" t="s">
        <v>458</v>
      </c>
      <c r="H32" s="1">
        <v>4</v>
      </c>
      <c r="I32" s="1">
        <v>2</v>
      </c>
      <c r="J32" s="5">
        <v>0.1018</v>
      </c>
      <c r="K32" s="5">
        <v>7.9166769748398119E-2</v>
      </c>
      <c r="L32" s="128" t="s">
        <v>459</v>
      </c>
      <c r="M32" s="1">
        <v>64</v>
      </c>
      <c r="N32" s="150">
        <v>238.75</v>
      </c>
      <c r="O32" s="186">
        <v>786.19</v>
      </c>
      <c r="P32" s="150">
        <v>1592.22</v>
      </c>
      <c r="Q32" s="150">
        <v>426.23</v>
      </c>
      <c r="R32" s="181">
        <v>808.42</v>
      </c>
      <c r="S32" s="179">
        <f t="shared" si="0"/>
        <v>808.42</v>
      </c>
      <c r="T32" s="179">
        <f t="shared" si="1"/>
        <v>0</v>
      </c>
      <c r="U32" s="185">
        <f>M32/R32</f>
        <v>7.9166769748398119E-2</v>
      </c>
      <c r="V32" s="179" t="s">
        <v>460</v>
      </c>
      <c r="W32" s="150">
        <v>6.6</v>
      </c>
      <c r="X32" s="150">
        <v>45</v>
      </c>
    </row>
    <row r="33" spans="2:24" x14ac:dyDescent="0.3">
      <c r="B33" s="139">
        <v>30</v>
      </c>
      <c r="C33" s="7">
        <v>162</v>
      </c>
      <c r="D33" s="6" t="s">
        <v>515</v>
      </c>
      <c r="E33" s="187" t="s">
        <v>496</v>
      </c>
      <c r="F33" s="184" t="s">
        <v>516</v>
      </c>
      <c r="G33" s="128" t="s">
        <v>458</v>
      </c>
      <c r="H33" s="1">
        <v>2</v>
      </c>
      <c r="I33" s="5">
        <v>1</v>
      </c>
      <c r="J33" s="5">
        <v>9.8500000000000004E-2</v>
      </c>
      <c r="K33" s="5">
        <v>7.7600000000000002E-2</v>
      </c>
      <c r="L33" s="128" t="s">
        <v>459</v>
      </c>
      <c r="M33" s="1">
        <v>31</v>
      </c>
      <c r="N33" s="150">
        <v>289.16000000000003</v>
      </c>
      <c r="O33" s="186">
        <v>399.4</v>
      </c>
      <c r="P33" s="150">
        <v>539.02</v>
      </c>
      <c r="Q33" s="150">
        <v>71.73</v>
      </c>
      <c r="R33" s="181">
        <v>399.4</v>
      </c>
      <c r="S33" s="179">
        <f t="shared" si="0"/>
        <v>399.48453608247422</v>
      </c>
      <c r="T33" s="179">
        <f t="shared" si="1"/>
        <v>8.4536082474244267E-2</v>
      </c>
      <c r="U33" s="179"/>
      <c r="V33" s="179" t="s">
        <v>460</v>
      </c>
      <c r="W33" s="150">
        <v>11</v>
      </c>
      <c r="X33" s="150">
        <v>77</v>
      </c>
    </row>
    <row r="34" spans="2:24" x14ac:dyDescent="0.3">
      <c r="B34" s="139">
        <v>31</v>
      </c>
      <c r="C34" s="7">
        <v>163</v>
      </c>
      <c r="D34" s="6" t="s">
        <v>517</v>
      </c>
      <c r="E34" s="187" t="s">
        <v>496</v>
      </c>
      <c r="F34" s="195" t="s">
        <v>518</v>
      </c>
      <c r="G34" s="128" t="s">
        <v>458</v>
      </c>
      <c r="H34" s="1">
        <v>6</v>
      </c>
      <c r="I34" s="5">
        <v>1</v>
      </c>
      <c r="J34" s="5">
        <v>0.1051</v>
      </c>
      <c r="K34" s="5">
        <v>8.0581916554547481E-2</v>
      </c>
      <c r="L34" s="128" t="s">
        <v>459</v>
      </c>
      <c r="M34" s="1">
        <v>112</v>
      </c>
      <c r="N34" s="150">
        <v>1181.1300000000001</v>
      </c>
      <c r="O34" s="186">
        <v>1389.89</v>
      </c>
      <c r="P34" s="150">
        <v>1626.12</v>
      </c>
      <c r="Q34" s="150">
        <v>131.33000000000001</v>
      </c>
      <c r="R34" s="150">
        <v>1389.89</v>
      </c>
      <c r="S34" s="179">
        <f t="shared" si="0"/>
        <v>1389.89</v>
      </c>
      <c r="T34" s="179">
        <f t="shared" si="1"/>
        <v>0</v>
      </c>
      <c r="U34" s="188">
        <f>M34/R34</f>
        <v>8.0581916554547481E-2</v>
      </c>
      <c r="V34" s="179" t="s">
        <v>460</v>
      </c>
      <c r="W34" s="150">
        <v>7.4</v>
      </c>
      <c r="X34" s="150">
        <v>30</v>
      </c>
    </row>
    <row r="35" spans="2:24" x14ac:dyDescent="0.3">
      <c r="B35" s="139">
        <v>32</v>
      </c>
      <c r="C35" s="7">
        <v>166</v>
      </c>
      <c r="D35" s="6" t="s">
        <v>519</v>
      </c>
      <c r="E35" s="187" t="s">
        <v>496</v>
      </c>
      <c r="F35" s="184" t="s">
        <v>520</v>
      </c>
      <c r="G35" s="128" t="s">
        <v>458</v>
      </c>
      <c r="H35" s="1">
        <v>16</v>
      </c>
      <c r="I35" s="5">
        <v>4</v>
      </c>
      <c r="J35" s="5">
        <v>0.35260000000000002</v>
      </c>
      <c r="K35" s="5">
        <v>0.24110000000000001</v>
      </c>
      <c r="L35" s="128" t="s">
        <v>459</v>
      </c>
      <c r="M35" s="1">
        <v>40</v>
      </c>
      <c r="N35" s="150">
        <v>73.88</v>
      </c>
      <c r="O35" s="186">
        <v>160.12</v>
      </c>
      <c r="P35" s="150">
        <v>273.05</v>
      </c>
      <c r="Q35" s="150">
        <v>61.64</v>
      </c>
      <c r="R35" s="150">
        <v>165.94</v>
      </c>
      <c r="S35" s="179">
        <f t="shared" si="0"/>
        <v>165.90626296142679</v>
      </c>
      <c r="T35" s="179">
        <f t="shared" si="1"/>
        <v>3.3737038573207201E-2</v>
      </c>
      <c r="U35" s="179"/>
      <c r="V35" s="179" t="s">
        <v>460</v>
      </c>
      <c r="W35" s="150">
        <v>18</v>
      </c>
      <c r="X35" s="150">
        <v>124</v>
      </c>
    </row>
    <row r="36" spans="2:24" x14ac:dyDescent="0.3">
      <c r="B36" s="139">
        <v>33</v>
      </c>
      <c r="C36" s="7">
        <v>168</v>
      </c>
      <c r="D36" s="6" t="s">
        <v>521</v>
      </c>
      <c r="E36" s="187" t="s">
        <v>496</v>
      </c>
      <c r="F36" s="184" t="s">
        <v>522</v>
      </c>
      <c r="G36" s="128" t="s">
        <v>458</v>
      </c>
      <c r="H36" s="2">
        <v>34</v>
      </c>
      <c r="I36" s="1">
        <v>9</v>
      </c>
      <c r="J36" s="5">
        <v>0.6542</v>
      </c>
      <c r="K36" s="8">
        <v>0.28370000000000001</v>
      </c>
      <c r="L36" s="128" t="s">
        <v>459</v>
      </c>
      <c r="M36" s="1">
        <v>46</v>
      </c>
      <c r="N36" s="181">
        <v>12775.27</v>
      </c>
      <c r="O36" s="186">
        <v>16289.91</v>
      </c>
      <c r="P36" s="150">
        <v>20156.900000000001</v>
      </c>
      <c r="Q36" s="179">
        <v>2248.89</v>
      </c>
      <c r="R36" s="150">
        <v>162.13</v>
      </c>
      <c r="S36" s="179">
        <f t="shared" si="0"/>
        <v>162.14310891787099</v>
      </c>
      <c r="T36" s="179">
        <f t="shared" si="1"/>
        <v>1.3108917870994219E-2</v>
      </c>
      <c r="U36" s="179"/>
      <c r="V36" s="179" t="s">
        <v>460</v>
      </c>
      <c r="W36" s="179">
        <v>21</v>
      </c>
      <c r="X36" s="179">
        <v>126</v>
      </c>
    </row>
    <row r="37" spans="2:24" x14ac:dyDescent="0.3">
      <c r="B37" s="139">
        <v>34</v>
      </c>
      <c r="C37" s="7">
        <v>170</v>
      </c>
      <c r="D37" s="6" t="s">
        <v>523</v>
      </c>
      <c r="E37" s="187" t="s">
        <v>496</v>
      </c>
      <c r="F37" s="196" t="s">
        <v>524</v>
      </c>
      <c r="G37" s="128" t="s">
        <v>458</v>
      </c>
      <c r="H37" s="2">
        <v>30</v>
      </c>
      <c r="I37" s="1">
        <v>5</v>
      </c>
      <c r="J37" s="5">
        <v>0.72870000000000001</v>
      </c>
      <c r="K37" s="8">
        <v>0.57709999999999995</v>
      </c>
      <c r="L37" s="128" t="s">
        <v>459</v>
      </c>
      <c r="M37" s="1">
        <v>201</v>
      </c>
      <c r="N37" s="181">
        <v>6.44</v>
      </c>
      <c r="O37" s="186">
        <v>475.18</v>
      </c>
      <c r="P37" s="150">
        <v>1515.47</v>
      </c>
      <c r="Q37" s="179">
        <v>546.6</v>
      </c>
      <c r="R37" s="150">
        <v>348.3</v>
      </c>
      <c r="S37" s="179">
        <f t="shared" si="0"/>
        <v>348.29319008837291</v>
      </c>
      <c r="T37" s="179">
        <f t="shared" si="1"/>
        <v>6.8099116271014282E-3</v>
      </c>
      <c r="U37" s="179"/>
      <c r="V37" s="179" t="s">
        <v>460</v>
      </c>
      <c r="W37" s="179">
        <v>11</v>
      </c>
      <c r="X37" s="179">
        <v>84</v>
      </c>
    </row>
    <row r="38" spans="2:24" x14ac:dyDescent="0.3">
      <c r="B38" s="139">
        <v>35</v>
      </c>
      <c r="C38" s="7">
        <v>172</v>
      </c>
      <c r="D38" s="197" t="s">
        <v>525</v>
      </c>
      <c r="E38" s="187" t="s">
        <v>496</v>
      </c>
      <c r="F38" s="196" t="s">
        <v>472</v>
      </c>
      <c r="G38" s="128" t="s">
        <v>458</v>
      </c>
      <c r="H38" s="2">
        <v>55</v>
      </c>
      <c r="I38" s="1">
        <v>5</v>
      </c>
      <c r="J38" s="5">
        <v>0.83230000000000004</v>
      </c>
      <c r="K38" s="8">
        <v>0.6371</v>
      </c>
      <c r="L38" s="128" t="s">
        <v>459</v>
      </c>
      <c r="M38" s="1">
        <v>47</v>
      </c>
      <c r="N38" s="181">
        <v>31.96</v>
      </c>
      <c r="O38" s="186">
        <v>195.51</v>
      </c>
      <c r="P38" s="150">
        <v>474.24</v>
      </c>
      <c r="Q38" s="179">
        <v>143.46</v>
      </c>
      <c r="R38" s="150">
        <v>73.77</v>
      </c>
      <c r="S38" s="179">
        <f t="shared" si="0"/>
        <v>73.771778370742425</v>
      </c>
      <c r="T38" s="179">
        <f t="shared" si="1"/>
        <v>1.7783707424285922E-3</v>
      </c>
      <c r="U38" s="179"/>
      <c r="V38" s="179" t="s">
        <v>460</v>
      </c>
      <c r="W38" s="179">
        <v>7.4</v>
      </c>
      <c r="X38" s="179">
        <v>36</v>
      </c>
    </row>
    <row r="39" spans="2:24" x14ac:dyDescent="0.3">
      <c r="B39" s="139">
        <v>36</v>
      </c>
      <c r="C39" s="7">
        <v>176</v>
      </c>
      <c r="D39" s="197" t="s">
        <v>526</v>
      </c>
      <c r="E39" s="187" t="s">
        <v>496</v>
      </c>
      <c r="F39" s="196" t="s">
        <v>527</v>
      </c>
      <c r="G39" s="128" t="s">
        <v>458</v>
      </c>
      <c r="H39" s="2">
        <v>25</v>
      </c>
      <c r="I39" s="1">
        <v>1</v>
      </c>
      <c r="J39" s="5">
        <v>0.438</v>
      </c>
      <c r="K39" s="8">
        <v>0.42549999999999999</v>
      </c>
      <c r="L39" s="128" t="s">
        <v>459</v>
      </c>
      <c r="M39" s="1">
        <v>6</v>
      </c>
      <c r="N39" s="181">
        <v>6.15</v>
      </c>
      <c r="O39" s="186">
        <v>14.1</v>
      </c>
      <c r="P39" s="150">
        <v>27.83</v>
      </c>
      <c r="Q39" s="179">
        <v>5.76</v>
      </c>
      <c r="R39" s="150">
        <v>14.1</v>
      </c>
      <c r="S39" s="179">
        <f t="shared" si="0"/>
        <v>14.10105757931845</v>
      </c>
      <c r="T39" s="179">
        <f t="shared" si="1"/>
        <v>1.0575793184504079E-3</v>
      </c>
      <c r="U39" s="179"/>
      <c r="V39" s="179" t="s">
        <v>460</v>
      </c>
      <c r="W39" s="179">
        <v>4.2</v>
      </c>
      <c r="X39" s="179">
        <v>6</v>
      </c>
    </row>
    <row r="40" spans="2:24" x14ac:dyDescent="0.3">
      <c r="B40" s="139">
        <v>37</v>
      </c>
      <c r="C40" s="7">
        <v>177</v>
      </c>
      <c r="D40" s="197" t="s">
        <v>528</v>
      </c>
      <c r="E40" s="187" t="s">
        <v>496</v>
      </c>
      <c r="F40" s="196" t="s">
        <v>529</v>
      </c>
      <c r="G40" s="128" t="s">
        <v>458</v>
      </c>
      <c r="H40" s="2">
        <v>15</v>
      </c>
      <c r="I40" s="1">
        <v>2</v>
      </c>
      <c r="J40" s="5">
        <v>0.13139999999999999</v>
      </c>
      <c r="K40" s="8">
        <v>6.5699999999999995E-2</v>
      </c>
      <c r="L40" s="128" t="s">
        <v>459</v>
      </c>
      <c r="M40" s="1">
        <v>10</v>
      </c>
      <c r="N40" s="181">
        <v>31.17</v>
      </c>
      <c r="O40" s="186">
        <v>166.16</v>
      </c>
      <c r="P40" s="150">
        <v>389.14</v>
      </c>
      <c r="Q40" s="179">
        <v>115.21</v>
      </c>
      <c r="R40" s="150">
        <v>152.21</v>
      </c>
      <c r="S40" s="179">
        <f t="shared" si="0"/>
        <v>152.20700152207002</v>
      </c>
      <c r="T40" s="179">
        <f t="shared" si="1"/>
        <v>2.9984779299923048E-3</v>
      </c>
      <c r="U40" s="179"/>
      <c r="V40" s="179" t="s">
        <v>460</v>
      </c>
      <c r="W40" s="179" t="s">
        <v>460</v>
      </c>
      <c r="X40" s="179" t="s">
        <v>460</v>
      </c>
    </row>
    <row r="41" spans="2:24" x14ac:dyDescent="0.3">
      <c r="B41" s="139">
        <v>38</v>
      </c>
      <c r="C41" s="7">
        <v>178</v>
      </c>
      <c r="D41" s="197" t="s">
        <v>530</v>
      </c>
      <c r="E41" s="187" t="s">
        <v>496</v>
      </c>
      <c r="F41" s="198" t="s">
        <v>531</v>
      </c>
      <c r="G41" s="128" t="s">
        <v>458</v>
      </c>
      <c r="H41" s="2">
        <v>6</v>
      </c>
      <c r="I41" s="1">
        <v>2</v>
      </c>
      <c r="J41" s="5">
        <v>0.1052</v>
      </c>
      <c r="K41" s="8">
        <v>4.0189989039093897E-2</v>
      </c>
      <c r="L41" s="128" t="s">
        <v>459</v>
      </c>
      <c r="M41" s="2">
        <v>22</v>
      </c>
      <c r="N41" s="181">
        <v>369.33</v>
      </c>
      <c r="O41" s="186">
        <v>546.14</v>
      </c>
      <c r="P41" s="150">
        <v>751.16</v>
      </c>
      <c r="Q41" s="179">
        <v>116.71</v>
      </c>
      <c r="R41" s="150">
        <v>547.4</v>
      </c>
      <c r="S41" s="179">
        <f t="shared" si="0"/>
        <v>547.4</v>
      </c>
      <c r="T41" s="179">
        <f t="shared" si="1"/>
        <v>0</v>
      </c>
      <c r="U41" s="185">
        <f>M41/R41</f>
        <v>4.0189989039093897E-2</v>
      </c>
      <c r="V41" s="179" t="s">
        <v>460</v>
      </c>
      <c r="W41" s="179" t="s">
        <v>460</v>
      </c>
      <c r="X41" s="179" t="s">
        <v>460</v>
      </c>
    </row>
    <row r="42" spans="2:24" x14ac:dyDescent="0.3">
      <c r="B42" s="139">
        <v>39</v>
      </c>
      <c r="C42" s="7">
        <v>179</v>
      </c>
      <c r="D42" s="197" t="s">
        <v>532</v>
      </c>
      <c r="E42" s="187" t="s">
        <v>496</v>
      </c>
      <c r="F42" s="198" t="s">
        <v>533</v>
      </c>
      <c r="G42" s="128" t="s">
        <v>458</v>
      </c>
      <c r="H42" s="2">
        <v>3</v>
      </c>
      <c r="I42" s="1">
        <v>1</v>
      </c>
      <c r="J42" s="5">
        <v>5.2600000000000001E-2</v>
      </c>
      <c r="K42" s="8">
        <v>6.9999999999999999E-4</v>
      </c>
      <c r="L42" s="128" t="s">
        <v>459</v>
      </c>
      <c r="M42" s="1">
        <v>0</v>
      </c>
      <c r="N42" s="181">
        <v>0.6</v>
      </c>
      <c r="O42" s="186">
        <v>153.91999999999999</v>
      </c>
      <c r="P42" s="150">
        <v>591.04999999999995</v>
      </c>
      <c r="Q42" s="179">
        <v>217.67</v>
      </c>
      <c r="R42" s="179">
        <v>0</v>
      </c>
      <c r="S42" s="179">
        <f t="shared" si="0"/>
        <v>0</v>
      </c>
      <c r="T42" s="179">
        <f t="shared" si="1"/>
        <v>0</v>
      </c>
      <c r="U42" s="179"/>
      <c r="V42" s="179" t="s">
        <v>460</v>
      </c>
      <c r="W42" s="179" t="s">
        <v>460</v>
      </c>
      <c r="X42" s="179" t="s">
        <v>460</v>
      </c>
    </row>
    <row r="43" spans="2:24" x14ac:dyDescent="0.3">
      <c r="B43" s="139">
        <v>40</v>
      </c>
      <c r="C43" s="7">
        <v>180</v>
      </c>
      <c r="D43" s="197" t="s">
        <v>534</v>
      </c>
      <c r="E43" s="187" t="s">
        <v>496</v>
      </c>
      <c r="F43" s="198" t="s">
        <v>535</v>
      </c>
      <c r="G43" s="128" t="s">
        <v>458</v>
      </c>
      <c r="H43" s="2">
        <v>6</v>
      </c>
      <c r="I43" s="1">
        <v>1</v>
      </c>
      <c r="J43" s="5">
        <v>0.1051</v>
      </c>
      <c r="K43" s="8">
        <v>0.105</v>
      </c>
      <c r="L43" s="128" t="s">
        <v>459</v>
      </c>
      <c r="M43" s="1">
        <v>9</v>
      </c>
      <c r="N43" s="181">
        <v>44.7</v>
      </c>
      <c r="O43" s="186">
        <v>85.7</v>
      </c>
      <c r="P43" s="150">
        <v>149.54</v>
      </c>
      <c r="Q43" s="179">
        <v>28.57</v>
      </c>
      <c r="R43" s="150">
        <v>85.7</v>
      </c>
      <c r="S43" s="179">
        <f t="shared" si="0"/>
        <v>85.714285714285722</v>
      </c>
      <c r="T43" s="179">
        <f t="shared" si="1"/>
        <v>1.4285714285719564E-2</v>
      </c>
      <c r="U43" s="179"/>
      <c r="V43" s="179" t="s">
        <v>460</v>
      </c>
      <c r="W43" s="179">
        <v>9.1999999999999993</v>
      </c>
      <c r="X43" s="179">
        <v>36</v>
      </c>
    </row>
    <row r="44" spans="2:24" x14ac:dyDescent="0.3">
      <c r="B44" s="139">
        <v>41</v>
      </c>
      <c r="C44" s="7">
        <v>181</v>
      </c>
      <c r="D44" s="197" t="s">
        <v>536</v>
      </c>
      <c r="E44" s="187" t="s">
        <v>496</v>
      </c>
      <c r="F44" s="198" t="s">
        <v>537</v>
      </c>
      <c r="G44" s="128" t="s">
        <v>458</v>
      </c>
      <c r="H44" s="2">
        <v>1</v>
      </c>
      <c r="I44" s="1">
        <v>1</v>
      </c>
      <c r="J44" s="5">
        <v>1.7500000000000002E-2</v>
      </c>
      <c r="K44" s="8">
        <v>1.6367951550863399E-2</v>
      </c>
      <c r="L44" s="128" t="s">
        <v>459</v>
      </c>
      <c r="M44" s="1">
        <v>18</v>
      </c>
      <c r="N44" s="181">
        <v>710.72</v>
      </c>
      <c r="O44" s="186">
        <v>1099.71</v>
      </c>
      <c r="P44" s="150">
        <v>1630.62</v>
      </c>
      <c r="Q44" s="179">
        <v>259.2</v>
      </c>
      <c r="R44" s="150">
        <v>1099.71</v>
      </c>
      <c r="S44" s="179">
        <f t="shared" si="0"/>
        <v>1099.7100000000007</v>
      </c>
      <c r="T44" s="179">
        <f t="shared" si="1"/>
        <v>6.8212102632969618E-13</v>
      </c>
      <c r="U44" s="185">
        <f>M44/R44</f>
        <v>1.6367951550863409E-2</v>
      </c>
      <c r="V44" s="179" t="s">
        <v>460</v>
      </c>
      <c r="W44" s="179">
        <v>4.5999999999999996</v>
      </c>
      <c r="X44" s="179">
        <v>16</v>
      </c>
    </row>
    <row r="45" spans="2:24" x14ac:dyDescent="0.3">
      <c r="B45" s="139">
        <v>42</v>
      </c>
      <c r="C45" s="7">
        <v>184</v>
      </c>
      <c r="D45" s="197" t="s">
        <v>538</v>
      </c>
      <c r="E45" s="187" t="s">
        <v>496</v>
      </c>
      <c r="F45" s="198" t="s">
        <v>539</v>
      </c>
      <c r="G45" s="128" t="s">
        <v>458</v>
      </c>
      <c r="H45" s="2">
        <v>1</v>
      </c>
      <c r="I45" s="1">
        <v>1</v>
      </c>
      <c r="J45" s="5">
        <v>1.7500000000000002E-2</v>
      </c>
      <c r="K45" s="8">
        <v>1.6367951550863409E-2</v>
      </c>
      <c r="L45" s="128" t="s">
        <v>459</v>
      </c>
      <c r="M45" s="1">
        <v>18</v>
      </c>
      <c r="N45" s="181">
        <v>710.72</v>
      </c>
      <c r="O45" s="186">
        <v>1099.71</v>
      </c>
      <c r="P45" s="150">
        <v>1630.62</v>
      </c>
      <c r="Q45" s="179">
        <v>259.2</v>
      </c>
      <c r="R45" s="150">
        <v>1099.71</v>
      </c>
      <c r="S45" s="179">
        <f t="shared" si="0"/>
        <v>1099.71</v>
      </c>
      <c r="T45" s="179">
        <f t="shared" si="1"/>
        <v>0</v>
      </c>
      <c r="U45" s="179"/>
      <c r="V45" s="179" t="s">
        <v>460</v>
      </c>
      <c r="W45" s="179">
        <v>4.5999999999999996</v>
      </c>
      <c r="X45" s="179">
        <v>16</v>
      </c>
    </row>
    <row r="46" spans="2:24" x14ac:dyDescent="0.3">
      <c r="B46" s="139">
        <v>43</v>
      </c>
      <c r="C46" s="7">
        <v>189</v>
      </c>
      <c r="D46" s="197" t="s">
        <v>540</v>
      </c>
      <c r="E46" s="199" t="s">
        <v>541</v>
      </c>
      <c r="F46" s="198"/>
      <c r="G46" s="128" t="s">
        <v>458</v>
      </c>
      <c r="H46" s="2">
        <v>98</v>
      </c>
      <c r="I46" s="1">
        <v>41</v>
      </c>
      <c r="J46" s="5">
        <v>1.5307999999999999</v>
      </c>
      <c r="K46" s="8">
        <v>0.58919999999999995</v>
      </c>
      <c r="L46" s="128" t="s">
        <v>459</v>
      </c>
      <c r="M46" s="1">
        <v>374</v>
      </c>
      <c r="N46" s="181">
        <v>764.58</v>
      </c>
      <c r="O46" s="186">
        <v>2908.61</v>
      </c>
      <c r="P46" s="150">
        <v>6184.49</v>
      </c>
      <c r="Q46" s="179">
        <v>1719.37</v>
      </c>
      <c r="R46" s="150">
        <v>634.76</v>
      </c>
      <c r="S46" s="179">
        <f t="shared" si="0"/>
        <v>634.75899524779368</v>
      </c>
      <c r="T46" s="179">
        <f t="shared" si="1"/>
        <v>1.0047522063132419E-3</v>
      </c>
      <c r="U46" s="179"/>
      <c r="V46" s="179" t="s">
        <v>460</v>
      </c>
      <c r="W46" s="179">
        <v>23</v>
      </c>
      <c r="X46" s="179">
        <v>217</v>
      </c>
    </row>
    <row r="47" spans="2:24" x14ac:dyDescent="0.3">
      <c r="B47" s="139">
        <v>44</v>
      </c>
      <c r="C47" s="7">
        <v>195</v>
      </c>
      <c r="D47" s="197" t="s">
        <v>542</v>
      </c>
      <c r="E47" s="199" t="s">
        <v>541</v>
      </c>
      <c r="F47" s="198" t="s">
        <v>543</v>
      </c>
      <c r="G47" s="128" t="s">
        <v>458</v>
      </c>
      <c r="H47" s="2">
        <v>64</v>
      </c>
      <c r="I47" s="1">
        <v>34</v>
      </c>
      <c r="J47" s="5">
        <v>1.1452</v>
      </c>
      <c r="K47" s="8">
        <v>0.3241</v>
      </c>
      <c r="L47" s="128" t="s">
        <v>459</v>
      </c>
      <c r="M47" s="1">
        <v>182</v>
      </c>
      <c r="N47" s="181">
        <v>7989.34</v>
      </c>
      <c r="O47" s="186">
        <v>12092.96</v>
      </c>
      <c r="P47" s="150">
        <v>16889.509999999998</v>
      </c>
      <c r="Q47" s="179">
        <v>2722.03</v>
      </c>
      <c r="R47" s="150">
        <v>561.55999999999995</v>
      </c>
      <c r="S47" s="179">
        <f t="shared" si="0"/>
        <v>561.55507559395244</v>
      </c>
      <c r="T47" s="179">
        <f t="shared" si="1"/>
        <v>4.9244060475075457E-3</v>
      </c>
      <c r="U47" s="179"/>
      <c r="V47" s="179" t="s">
        <v>460</v>
      </c>
      <c r="W47" s="179">
        <v>22</v>
      </c>
      <c r="X47" s="179">
        <v>217</v>
      </c>
    </row>
    <row r="48" spans="2:24" x14ac:dyDescent="0.3">
      <c r="B48" s="139">
        <v>45</v>
      </c>
      <c r="C48" s="7">
        <v>201</v>
      </c>
      <c r="D48" s="197" t="s">
        <v>544</v>
      </c>
      <c r="E48" s="199" t="s">
        <v>541</v>
      </c>
      <c r="F48" s="198" t="s">
        <v>545</v>
      </c>
      <c r="G48" s="128" t="s">
        <v>458</v>
      </c>
      <c r="H48" s="2">
        <v>23</v>
      </c>
      <c r="I48" s="1">
        <v>23</v>
      </c>
      <c r="J48" s="5">
        <v>0.25409999999999999</v>
      </c>
      <c r="K48" s="8">
        <v>1.6199999999999999E-2</v>
      </c>
      <c r="L48" s="128" t="s">
        <v>459</v>
      </c>
      <c r="M48" s="1">
        <v>30</v>
      </c>
      <c r="N48" s="181">
        <v>14983.39</v>
      </c>
      <c r="O48" s="186">
        <v>32462.46</v>
      </c>
      <c r="P48" s="150">
        <v>55349.98</v>
      </c>
      <c r="Q48" s="179">
        <v>12492.55</v>
      </c>
      <c r="R48" s="150">
        <v>1857.59</v>
      </c>
      <c r="S48" s="179">
        <f t="shared" si="0"/>
        <v>1851.851851851852</v>
      </c>
      <c r="T48" s="179">
        <f t="shared" si="1"/>
        <v>5.7381481481479568</v>
      </c>
      <c r="U48" s="200">
        <f>M48/S48</f>
        <v>1.6199999999999999E-2</v>
      </c>
      <c r="V48" s="179" t="s">
        <v>460</v>
      </c>
      <c r="W48" s="179">
        <v>25</v>
      </c>
      <c r="X48" s="179">
        <v>56</v>
      </c>
    </row>
    <row r="49" spans="2:24" x14ac:dyDescent="0.3">
      <c r="B49" s="139">
        <v>46</v>
      </c>
      <c r="C49" s="7">
        <v>203</v>
      </c>
      <c r="D49" s="197" t="s">
        <v>546</v>
      </c>
      <c r="E49" s="199" t="s">
        <v>541</v>
      </c>
      <c r="F49" s="198" t="s">
        <v>547</v>
      </c>
      <c r="G49" s="128" t="s">
        <v>458</v>
      </c>
      <c r="H49" s="2">
        <v>11</v>
      </c>
      <c r="I49" s="1">
        <v>5</v>
      </c>
      <c r="J49" s="5">
        <v>0.28060000000000002</v>
      </c>
      <c r="K49" s="8">
        <v>0.12222570018930078</v>
      </c>
      <c r="L49" s="128" t="s">
        <v>459</v>
      </c>
      <c r="M49" s="1">
        <v>82</v>
      </c>
      <c r="N49" s="181">
        <v>136.04</v>
      </c>
      <c r="O49" s="186">
        <v>704.62</v>
      </c>
      <c r="P49" s="150">
        <v>1638.62</v>
      </c>
      <c r="Q49" s="179">
        <v>483.25</v>
      </c>
      <c r="R49" s="150">
        <v>670.89</v>
      </c>
      <c r="S49" s="179">
        <f t="shared" si="0"/>
        <v>670.89</v>
      </c>
      <c r="T49" s="179">
        <f t="shared" si="1"/>
        <v>0</v>
      </c>
      <c r="U49" s="194">
        <f>M49/R49</f>
        <v>0.12222570018930078</v>
      </c>
      <c r="V49" s="179" t="s">
        <v>460</v>
      </c>
      <c r="W49" s="179">
        <v>28</v>
      </c>
      <c r="X49" s="179">
        <v>217</v>
      </c>
    </row>
    <row r="50" spans="2:24" x14ac:dyDescent="0.3">
      <c r="B50" s="139">
        <v>47</v>
      </c>
      <c r="C50" s="7">
        <v>204</v>
      </c>
      <c r="D50" s="197" t="s">
        <v>548</v>
      </c>
      <c r="E50" s="199" t="s">
        <v>541</v>
      </c>
      <c r="F50" s="198" t="s">
        <v>549</v>
      </c>
      <c r="G50" s="128" t="s">
        <v>458</v>
      </c>
      <c r="H50" s="2">
        <v>2</v>
      </c>
      <c r="I50" s="1">
        <v>2</v>
      </c>
      <c r="J50" s="5">
        <v>5.2600000000000001E-2</v>
      </c>
      <c r="K50" s="8">
        <v>1.0500000000000001E-2</v>
      </c>
      <c r="L50" s="128" t="s">
        <v>459</v>
      </c>
      <c r="M50" s="1">
        <v>2</v>
      </c>
      <c r="N50" s="181">
        <v>9.52</v>
      </c>
      <c r="O50" s="186">
        <v>190.48</v>
      </c>
      <c r="P50" s="150">
        <v>570.48</v>
      </c>
      <c r="Q50" s="179">
        <v>190.48</v>
      </c>
      <c r="R50" s="150">
        <v>190.48</v>
      </c>
      <c r="S50" s="179">
        <f t="shared" si="0"/>
        <v>190.47619047619045</v>
      </c>
      <c r="T50" s="179">
        <f t="shared" si="1"/>
        <v>3.8095238095365858E-3</v>
      </c>
      <c r="U50" s="179"/>
      <c r="V50" s="179" t="s">
        <v>460</v>
      </c>
      <c r="W50" s="179">
        <v>68</v>
      </c>
      <c r="X50" s="179">
        <v>108</v>
      </c>
    </row>
    <row r="51" spans="2:24" x14ac:dyDescent="0.3">
      <c r="B51" s="139">
        <v>48</v>
      </c>
      <c r="C51" s="7">
        <v>206</v>
      </c>
      <c r="D51" s="197" t="s">
        <v>550</v>
      </c>
      <c r="E51" s="199" t="s">
        <v>541</v>
      </c>
      <c r="F51" s="198" t="s">
        <v>551</v>
      </c>
      <c r="G51" s="128" t="s">
        <v>458</v>
      </c>
      <c r="H51" s="2">
        <v>27</v>
      </c>
      <c r="I51" s="1">
        <v>9</v>
      </c>
      <c r="J51" s="5">
        <v>0.53159999999999996</v>
      </c>
      <c r="K51" s="8">
        <v>0.16096065406234034</v>
      </c>
      <c r="L51" s="128" t="s">
        <v>459</v>
      </c>
      <c r="M51" s="1">
        <v>63</v>
      </c>
      <c r="N51" s="181">
        <v>13087.16</v>
      </c>
      <c r="O51" s="186">
        <v>17384.88</v>
      </c>
      <c r="P51" s="150">
        <v>22184.53</v>
      </c>
      <c r="Q51" s="179">
        <v>2773.78</v>
      </c>
      <c r="R51" s="150">
        <v>391.4</v>
      </c>
      <c r="S51" s="179">
        <f t="shared" si="0"/>
        <v>391.4</v>
      </c>
      <c r="T51" s="179">
        <f t="shared" si="1"/>
        <v>0</v>
      </c>
      <c r="U51" s="194">
        <f>M51/R51</f>
        <v>0.16096065406234034</v>
      </c>
      <c r="V51" s="179" t="s">
        <v>460</v>
      </c>
      <c r="W51" s="179">
        <v>8.5</v>
      </c>
      <c r="X51" s="179">
        <v>43</v>
      </c>
    </row>
    <row r="52" spans="2:24" x14ac:dyDescent="0.3">
      <c r="B52" s="139">
        <v>49</v>
      </c>
      <c r="C52" s="7">
        <v>207</v>
      </c>
      <c r="D52" s="197" t="s">
        <v>552</v>
      </c>
      <c r="E52" s="199" t="s">
        <v>541</v>
      </c>
      <c r="F52" s="198" t="s">
        <v>553</v>
      </c>
      <c r="G52" s="128" t="s">
        <v>458</v>
      </c>
      <c r="H52" s="2">
        <v>1</v>
      </c>
      <c r="I52" s="1">
        <v>1</v>
      </c>
      <c r="J52" s="5">
        <v>2.63E-2</v>
      </c>
      <c r="K52" s="8">
        <v>1.4260046202549696E-2</v>
      </c>
      <c r="L52" s="128" t="s">
        <v>459</v>
      </c>
      <c r="M52" s="1">
        <v>5</v>
      </c>
      <c r="N52" s="181">
        <v>138.15</v>
      </c>
      <c r="O52" s="186">
        <v>350.63</v>
      </c>
      <c r="P52" s="150">
        <v>737.38</v>
      </c>
      <c r="Q52" s="179">
        <v>156.81</v>
      </c>
      <c r="R52" s="150">
        <v>350.63</v>
      </c>
      <c r="S52" s="179">
        <f t="shared" si="0"/>
        <v>350.63</v>
      </c>
      <c r="T52" s="179">
        <f t="shared" si="1"/>
        <v>0</v>
      </c>
      <c r="U52" s="188">
        <f>M52/R52</f>
        <v>1.4260046202549696E-2</v>
      </c>
      <c r="V52" s="179" t="s">
        <v>460</v>
      </c>
      <c r="W52" s="179">
        <v>10</v>
      </c>
      <c r="X52" s="179">
        <v>17</v>
      </c>
    </row>
    <row r="53" spans="2:24" x14ac:dyDescent="0.3">
      <c r="B53" s="139">
        <v>50</v>
      </c>
      <c r="C53" s="7">
        <v>210</v>
      </c>
      <c r="D53" s="197" t="s">
        <v>554</v>
      </c>
      <c r="E53" s="199" t="s">
        <v>541</v>
      </c>
      <c r="F53" s="198" t="s">
        <v>555</v>
      </c>
      <c r="G53" s="128" t="s">
        <v>458</v>
      </c>
      <c r="H53" s="2">
        <v>34</v>
      </c>
      <c r="I53" s="1">
        <v>18</v>
      </c>
      <c r="J53" s="5">
        <v>0.3856</v>
      </c>
      <c r="K53" s="8">
        <v>0.2651</v>
      </c>
      <c r="L53" s="128" t="s">
        <v>459</v>
      </c>
      <c r="M53" s="2">
        <v>192</v>
      </c>
      <c r="N53" s="181">
        <v>246.19</v>
      </c>
      <c r="O53" s="186">
        <v>786.94</v>
      </c>
      <c r="P53" s="150">
        <v>1576.63</v>
      </c>
      <c r="Q53" s="179">
        <v>418.23</v>
      </c>
      <c r="R53" s="150">
        <v>724.25</v>
      </c>
      <c r="S53" s="179">
        <f t="shared" si="0"/>
        <v>724.25499811391921</v>
      </c>
      <c r="T53" s="179">
        <f t="shared" si="1"/>
        <v>4.99811391921412E-3</v>
      </c>
      <c r="U53" s="179"/>
      <c r="V53" s="179" t="s">
        <v>460</v>
      </c>
      <c r="W53" s="179">
        <v>25</v>
      </c>
      <c r="X53" s="179">
        <v>170</v>
      </c>
    </row>
    <row r="54" spans="2:24" x14ac:dyDescent="0.3">
      <c r="B54" s="139">
        <v>51</v>
      </c>
      <c r="C54" s="7">
        <v>216</v>
      </c>
      <c r="D54" s="197" t="s">
        <v>556</v>
      </c>
      <c r="E54" s="199" t="s">
        <v>541</v>
      </c>
      <c r="F54" s="198" t="s">
        <v>557</v>
      </c>
      <c r="G54" s="128" t="s">
        <v>458</v>
      </c>
      <c r="H54" s="2">
        <v>3</v>
      </c>
      <c r="I54" s="1">
        <v>1</v>
      </c>
      <c r="J54" s="5">
        <v>7.8899999999999998E-2</v>
      </c>
      <c r="K54" s="8">
        <v>7.6076482223461986E-2</v>
      </c>
      <c r="L54" s="128" t="s">
        <v>459</v>
      </c>
      <c r="M54" s="1">
        <v>45</v>
      </c>
      <c r="N54" s="181">
        <v>454.31</v>
      </c>
      <c r="O54" s="186">
        <v>591.51</v>
      </c>
      <c r="P54" s="150">
        <v>758.38</v>
      </c>
      <c r="Q54" s="179">
        <v>88.18</v>
      </c>
      <c r="R54" s="150">
        <v>591.51</v>
      </c>
      <c r="S54" s="179">
        <f t="shared" si="0"/>
        <v>591.51</v>
      </c>
      <c r="T54" s="179">
        <f t="shared" si="1"/>
        <v>0</v>
      </c>
      <c r="U54" s="192">
        <f>M54/R54</f>
        <v>7.6076482223461986E-2</v>
      </c>
      <c r="V54" s="179" t="s">
        <v>460</v>
      </c>
      <c r="W54" s="179">
        <v>28</v>
      </c>
      <c r="X54" s="179">
        <v>170</v>
      </c>
    </row>
    <row r="55" spans="2:24" x14ac:dyDescent="0.3">
      <c r="B55" s="139">
        <v>52</v>
      </c>
      <c r="C55" s="7">
        <v>217</v>
      </c>
      <c r="D55" s="197" t="s">
        <v>558</v>
      </c>
      <c r="E55" s="199" t="s">
        <v>541</v>
      </c>
      <c r="F55" s="198" t="s">
        <v>559</v>
      </c>
      <c r="G55" s="128" t="s">
        <v>458</v>
      </c>
      <c r="H55" s="2">
        <v>1</v>
      </c>
      <c r="I55" s="1">
        <v>1</v>
      </c>
      <c r="J55" s="5">
        <v>2.63E-2</v>
      </c>
      <c r="K55" s="8">
        <v>5.2500098437684569E-3</v>
      </c>
      <c r="L55" s="128" t="s">
        <v>459</v>
      </c>
      <c r="M55" s="1">
        <v>12</v>
      </c>
      <c r="N55" s="181">
        <v>1319.05</v>
      </c>
      <c r="O55" s="186">
        <v>2285.71</v>
      </c>
      <c r="P55" s="150">
        <v>3702.8</v>
      </c>
      <c r="Q55" s="179">
        <v>659.83</v>
      </c>
      <c r="R55" s="150">
        <v>2285.71</v>
      </c>
      <c r="S55" s="179">
        <f t="shared" si="0"/>
        <v>2285.71</v>
      </c>
      <c r="T55" s="179">
        <f t="shared" si="1"/>
        <v>0</v>
      </c>
      <c r="U55" s="192"/>
      <c r="V55" s="179" t="s">
        <v>460</v>
      </c>
      <c r="W55" s="179">
        <v>16</v>
      </c>
      <c r="X55" s="179">
        <v>42</v>
      </c>
    </row>
    <row r="56" spans="2:24" x14ac:dyDescent="0.3">
      <c r="B56" s="139">
        <v>53</v>
      </c>
      <c r="C56" s="7">
        <v>220</v>
      </c>
      <c r="D56" s="197" t="s">
        <v>560</v>
      </c>
      <c r="E56" s="199" t="s">
        <v>541</v>
      </c>
      <c r="F56" s="198" t="s">
        <v>561</v>
      </c>
      <c r="G56" s="128" t="s">
        <v>458</v>
      </c>
      <c r="H56" s="2">
        <v>30</v>
      </c>
      <c r="I56" s="1">
        <v>16</v>
      </c>
      <c r="J56" s="5">
        <v>0.28029999999999999</v>
      </c>
      <c r="K56" s="8">
        <v>0.18377598388216557</v>
      </c>
      <c r="L56" s="128" t="s">
        <v>459</v>
      </c>
      <c r="M56" s="1">
        <v>135</v>
      </c>
      <c r="N56" s="181">
        <v>213.84</v>
      </c>
      <c r="O56" s="186">
        <v>730.59</v>
      </c>
      <c r="P56" s="150">
        <v>1498.93</v>
      </c>
      <c r="Q56" s="179">
        <v>405.58</v>
      </c>
      <c r="R56" s="150">
        <v>734.59</v>
      </c>
      <c r="S56" s="179">
        <f t="shared" si="0"/>
        <v>734.59</v>
      </c>
      <c r="T56" s="179">
        <f t="shared" si="1"/>
        <v>0</v>
      </c>
      <c r="U56" s="193">
        <f>M56/R56</f>
        <v>0.18377598388216557</v>
      </c>
      <c r="V56" s="179" t="s">
        <v>460</v>
      </c>
      <c r="W56" s="179">
        <v>22</v>
      </c>
      <c r="X56" s="179">
        <v>78</v>
      </c>
    </row>
    <row r="57" spans="2:24" x14ac:dyDescent="0.3">
      <c r="B57" s="139">
        <v>54</v>
      </c>
      <c r="C57" s="7">
        <v>223</v>
      </c>
      <c r="D57" s="197" t="s">
        <v>562</v>
      </c>
      <c r="E57" s="151" t="s">
        <v>563</v>
      </c>
      <c r="F57" s="196"/>
      <c r="G57" s="128" t="s">
        <v>458</v>
      </c>
      <c r="H57" s="2">
        <v>10</v>
      </c>
      <c r="I57" s="1">
        <v>3</v>
      </c>
      <c r="J57" s="5">
        <v>0.17519999999999999</v>
      </c>
      <c r="K57" s="8">
        <v>0.14430000000000001</v>
      </c>
      <c r="L57" s="128" t="s">
        <v>459</v>
      </c>
      <c r="M57" s="1">
        <v>48</v>
      </c>
      <c r="N57" s="181">
        <v>36.81</v>
      </c>
      <c r="O57" s="186">
        <v>310.47000000000003</v>
      </c>
      <c r="P57" s="150">
        <v>806.03</v>
      </c>
      <c r="Q57" s="179">
        <v>252.51</v>
      </c>
      <c r="R57" s="150">
        <v>332.65</v>
      </c>
      <c r="S57" s="179">
        <f t="shared" si="0"/>
        <v>332.64033264033259</v>
      </c>
      <c r="T57" s="179">
        <f t="shared" si="1"/>
        <v>9.667359667389519E-3</v>
      </c>
      <c r="U57" s="179"/>
      <c r="V57" s="179" t="s">
        <v>460</v>
      </c>
      <c r="W57" s="179" t="s">
        <v>460</v>
      </c>
      <c r="X57" s="179" t="s">
        <v>460</v>
      </c>
    </row>
    <row r="58" spans="2:24" x14ac:dyDescent="0.3">
      <c r="B58" s="139">
        <v>55</v>
      </c>
      <c r="C58" s="7">
        <v>227</v>
      </c>
      <c r="D58" s="197" t="s">
        <v>564</v>
      </c>
      <c r="E58" s="151" t="s">
        <v>563</v>
      </c>
      <c r="F58" s="196" t="s">
        <v>565</v>
      </c>
      <c r="G58" s="128" t="s">
        <v>458</v>
      </c>
      <c r="H58" s="2">
        <v>10</v>
      </c>
      <c r="I58" s="1">
        <v>3</v>
      </c>
      <c r="J58" s="5">
        <v>0.17519999999999999</v>
      </c>
      <c r="K58" s="8">
        <v>0.14430000000000001</v>
      </c>
      <c r="L58" s="128" t="s">
        <v>459</v>
      </c>
      <c r="M58" s="1">
        <v>48</v>
      </c>
      <c r="N58" s="181">
        <v>36.81</v>
      </c>
      <c r="O58" s="186">
        <v>310.47000000000003</v>
      </c>
      <c r="P58" s="150">
        <v>806.03</v>
      </c>
      <c r="Q58" s="179">
        <v>252.51</v>
      </c>
      <c r="R58" s="150">
        <v>332.65</v>
      </c>
      <c r="S58" s="179">
        <f t="shared" si="0"/>
        <v>332.64033264033259</v>
      </c>
      <c r="T58" s="179">
        <f t="shared" si="1"/>
        <v>9.667359667389519E-3</v>
      </c>
      <c r="U58" s="179"/>
      <c r="V58" s="179" t="s">
        <v>460</v>
      </c>
      <c r="W58" s="179" t="s">
        <v>460</v>
      </c>
      <c r="X58" s="179" t="s">
        <v>460</v>
      </c>
    </row>
    <row r="59" spans="2:24" x14ac:dyDescent="0.3">
      <c r="B59" s="139">
        <v>56</v>
      </c>
      <c r="C59" s="7">
        <v>231</v>
      </c>
      <c r="D59" s="197" t="s">
        <v>566</v>
      </c>
      <c r="E59" s="151" t="s">
        <v>563</v>
      </c>
      <c r="F59" s="196" t="s">
        <v>567</v>
      </c>
      <c r="G59" s="128" t="s">
        <v>458</v>
      </c>
      <c r="H59" s="2">
        <v>10</v>
      </c>
      <c r="I59" s="1">
        <v>3</v>
      </c>
      <c r="J59" s="5">
        <v>0.17519999999999999</v>
      </c>
      <c r="K59" s="8">
        <v>0.14430000000000001</v>
      </c>
      <c r="L59" s="128" t="s">
        <v>459</v>
      </c>
      <c r="M59" s="1">
        <v>48</v>
      </c>
      <c r="N59" s="181">
        <v>36.81</v>
      </c>
      <c r="O59" s="186">
        <v>310.47000000000003</v>
      </c>
      <c r="P59" s="150">
        <v>806.03</v>
      </c>
      <c r="Q59" s="179">
        <v>252.51</v>
      </c>
      <c r="R59" s="150">
        <v>332.65</v>
      </c>
      <c r="S59" s="179">
        <f t="shared" si="0"/>
        <v>332.64033264033259</v>
      </c>
      <c r="T59" s="179">
        <f t="shared" si="1"/>
        <v>9.667359667389519E-3</v>
      </c>
      <c r="U59" s="179"/>
      <c r="V59" s="179" t="s">
        <v>460</v>
      </c>
      <c r="W59" s="179" t="s">
        <v>460</v>
      </c>
      <c r="X59" s="179" t="s">
        <v>460</v>
      </c>
    </row>
    <row r="60" spans="2:24" x14ac:dyDescent="0.3">
      <c r="B60" s="139">
        <v>57</v>
      </c>
      <c r="C60" s="7">
        <v>236</v>
      </c>
      <c r="D60" s="197" t="s">
        <v>256</v>
      </c>
      <c r="E60" s="151" t="s">
        <v>568</v>
      </c>
      <c r="F60" s="196" t="s">
        <v>568</v>
      </c>
      <c r="G60" s="128" t="s">
        <v>458</v>
      </c>
      <c r="H60" s="2">
        <v>32</v>
      </c>
      <c r="I60" s="1">
        <v>14</v>
      </c>
      <c r="J60" s="5">
        <v>0.89480000000000004</v>
      </c>
      <c r="K60" s="8">
        <v>0.51580000000000004</v>
      </c>
      <c r="L60" s="128" t="s">
        <v>459</v>
      </c>
      <c r="M60" s="1">
        <v>103</v>
      </c>
      <c r="N60" s="181">
        <v>5</v>
      </c>
      <c r="O60" s="186">
        <v>225.25</v>
      </c>
      <c r="P60" s="150">
        <v>694.63</v>
      </c>
      <c r="Q60" s="179">
        <v>244.36</v>
      </c>
      <c r="R60" s="150">
        <v>199.7</v>
      </c>
      <c r="S60" s="179">
        <f t="shared" si="0"/>
        <v>199.68980224893369</v>
      </c>
      <c r="T60" s="179">
        <f t="shared" si="1"/>
        <v>1.0197751066300498E-2</v>
      </c>
      <c r="U60" s="179"/>
      <c r="V60" s="179" t="s">
        <v>460</v>
      </c>
      <c r="W60" s="179">
        <v>20</v>
      </c>
      <c r="X60" s="179">
        <v>125</v>
      </c>
    </row>
    <row r="61" spans="2:24" x14ac:dyDescent="0.3">
      <c r="B61" s="139">
        <v>58</v>
      </c>
      <c r="C61" s="7">
        <v>241</v>
      </c>
      <c r="D61" s="197" t="s">
        <v>569</v>
      </c>
      <c r="E61" s="151" t="s">
        <v>568</v>
      </c>
      <c r="F61" s="196" t="s">
        <v>570</v>
      </c>
      <c r="G61" s="128" t="s">
        <v>458</v>
      </c>
      <c r="H61" s="2">
        <v>22</v>
      </c>
      <c r="I61" s="1">
        <v>12</v>
      </c>
      <c r="J61" s="5">
        <v>0.59619999999999995</v>
      </c>
      <c r="K61" s="8">
        <v>0.2661</v>
      </c>
      <c r="L61" s="128" t="s">
        <v>459</v>
      </c>
      <c r="M61" s="1">
        <v>30</v>
      </c>
      <c r="N61" s="181">
        <v>1.8</v>
      </c>
      <c r="O61" s="186">
        <v>208.27</v>
      </c>
      <c r="P61" s="150">
        <v>695.39</v>
      </c>
      <c r="Q61" s="179">
        <v>254.97</v>
      </c>
      <c r="R61" s="150">
        <v>112.76</v>
      </c>
      <c r="S61" s="179">
        <f t="shared" si="0"/>
        <v>112.73957158962796</v>
      </c>
      <c r="T61" s="179">
        <f t="shared" si="1"/>
        <v>2.0428410372048234E-2</v>
      </c>
      <c r="U61" s="179"/>
      <c r="V61" s="179" t="s">
        <v>460</v>
      </c>
      <c r="W61" s="179">
        <v>24</v>
      </c>
      <c r="X61" s="179">
        <v>90</v>
      </c>
    </row>
    <row r="62" spans="2:24" x14ac:dyDescent="0.3">
      <c r="B62" s="139">
        <v>59</v>
      </c>
      <c r="C62" s="7">
        <v>244</v>
      </c>
      <c r="D62" s="197" t="s">
        <v>571</v>
      </c>
      <c r="E62" s="151" t="s">
        <v>568</v>
      </c>
      <c r="F62" s="196" t="s">
        <v>572</v>
      </c>
      <c r="G62" s="128" t="s">
        <v>458</v>
      </c>
      <c r="H62" s="2">
        <v>5</v>
      </c>
      <c r="I62" s="1">
        <v>3</v>
      </c>
      <c r="J62" s="5">
        <v>0.21920000000000001</v>
      </c>
      <c r="K62" s="8">
        <v>4.4249745563963008E-2</v>
      </c>
      <c r="L62" s="128" t="s">
        <v>459</v>
      </c>
      <c r="M62" s="1">
        <v>10</v>
      </c>
      <c r="N62" s="181">
        <v>1.1399999999999999</v>
      </c>
      <c r="O62" s="186">
        <v>572.48</v>
      </c>
      <c r="P62" s="150">
        <v>2292.8000000000002</v>
      </c>
      <c r="Q62" s="179">
        <v>859.29</v>
      </c>
      <c r="R62" s="150">
        <v>225.99</v>
      </c>
      <c r="S62" s="179">
        <f t="shared" si="0"/>
        <v>225.98999999999998</v>
      </c>
      <c r="T62" s="179">
        <f t="shared" si="1"/>
        <v>2.8421709430404007E-14</v>
      </c>
      <c r="U62" s="192">
        <f>M62/R62</f>
        <v>4.4249745563963008E-2</v>
      </c>
      <c r="V62" s="179" t="s">
        <v>460</v>
      </c>
      <c r="W62" s="179">
        <v>24</v>
      </c>
      <c r="X62" s="179">
        <v>82</v>
      </c>
    </row>
    <row r="63" spans="2:24" x14ac:dyDescent="0.3">
      <c r="B63" s="139">
        <v>60</v>
      </c>
      <c r="C63" s="7">
        <v>245</v>
      </c>
      <c r="D63" s="197" t="s">
        <v>573</v>
      </c>
      <c r="E63" s="151" t="s">
        <v>568</v>
      </c>
      <c r="F63" s="196" t="s">
        <v>574</v>
      </c>
      <c r="G63" s="128" t="s">
        <v>458</v>
      </c>
      <c r="H63" s="2">
        <v>2</v>
      </c>
      <c r="I63" s="1">
        <v>2</v>
      </c>
      <c r="J63" s="5">
        <v>5.2600000000000001E-2</v>
      </c>
      <c r="K63" s="8">
        <v>1.0500000000000001E-2</v>
      </c>
      <c r="L63" s="128" t="s">
        <v>459</v>
      </c>
      <c r="M63" s="1">
        <v>9</v>
      </c>
      <c r="N63" s="181">
        <v>4.46</v>
      </c>
      <c r="O63" s="186">
        <v>857.14</v>
      </c>
      <c r="P63" s="150">
        <v>3092.92</v>
      </c>
      <c r="Q63" s="179">
        <v>1142.8599999999999</v>
      </c>
      <c r="R63" s="150">
        <v>857.14</v>
      </c>
      <c r="S63" s="179">
        <f t="shared" si="0"/>
        <v>857.14285714285711</v>
      </c>
      <c r="T63" s="179">
        <f t="shared" si="1"/>
        <v>2.8571428571240176E-3</v>
      </c>
      <c r="U63" s="179"/>
      <c r="V63" s="179" t="s">
        <v>460</v>
      </c>
      <c r="W63" s="179">
        <v>25</v>
      </c>
      <c r="X63" s="179">
        <v>82</v>
      </c>
    </row>
    <row r="64" spans="2:24" x14ac:dyDescent="0.3">
      <c r="B64" s="139">
        <v>61</v>
      </c>
      <c r="C64" s="7">
        <v>246</v>
      </c>
      <c r="D64" s="197" t="s">
        <v>575</v>
      </c>
      <c r="E64" s="151" t="s">
        <v>568</v>
      </c>
      <c r="F64" s="196" t="s">
        <v>576</v>
      </c>
      <c r="G64" s="128" t="s">
        <v>458</v>
      </c>
      <c r="H64" s="2">
        <v>3</v>
      </c>
      <c r="I64" s="1">
        <v>1</v>
      </c>
      <c r="J64" s="5">
        <v>0.1666</v>
      </c>
      <c r="K64" s="8">
        <v>3.3799999999999997E-2</v>
      </c>
      <c r="L64" s="128" t="s">
        <v>459</v>
      </c>
      <c r="M64" s="1">
        <v>1</v>
      </c>
      <c r="N64" s="181">
        <v>1.48</v>
      </c>
      <c r="O64" s="186">
        <v>29.63</v>
      </c>
      <c r="P64" s="150">
        <v>140.59</v>
      </c>
      <c r="Q64" s="179">
        <v>29.63</v>
      </c>
      <c r="R64" s="150">
        <v>29.63</v>
      </c>
      <c r="S64" s="179">
        <f t="shared" si="0"/>
        <v>29.585798816568051</v>
      </c>
      <c r="T64" s="179">
        <f t="shared" si="1"/>
        <v>4.420118343194801E-2</v>
      </c>
      <c r="U64" s="179"/>
      <c r="V64" s="179" t="s">
        <v>460</v>
      </c>
      <c r="W64" s="179">
        <v>15</v>
      </c>
      <c r="X64" s="179">
        <v>15</v>
      </c>
    </row>
    <row r="65" spans="2:24" x14ac:dyDescent="0.3">
      <c r="B65" s="139">
        <v>62</v>
      </c>
      <c r="C65" s="7">
        <v>247</v>
      </c>
      <c r="D65" s="197" t="s">
        <v>577</v>
      </c>
      <c r="E65" s="151" t="s">
        <v>568</v>
      </c>
      <c r="F65" s="196" t="s">
        <v>578</v>
      </c>
      <c r="G65" s="128" t="s">
        <v>458</v>
      </c>
      <c r="H65" s="2">
        <v>11</v>
      </c>
      <c r="I65" s="1">
        <v>7</v>
      </c>
      <c r="J65" s="5">
        <v>0.27179999999999999</v>
      </c>
      <c r="K65" s="8">
        <v>0.11700000000000001</v>
      </c>
      <c r="L65" s="128" t="s">
        <v>459</v>
      </c>
      <c r="M65" s="1">
        <v>16</v>
      </c>
      <c r="N65" s="181">
        <v>17.010000000000002</v>
      </c>
      <c r="O65" s="186">
        <v>128.69999999999999</v>
      </c>
      <c r="P65" s="150">
        <v>327.48</v>
      </c>
      <c r="Q65" s="179">
        <v>101.68</v>
      </c>
      <c r="R65" s="150">
        <v>136.71</v>
      </c>
      <c r="S65" s="179">
        <f t="shared" si="0"/>
        <v>136.75213675213675</v>
      </c>
      <c r="T65" s="179">
        <f t="shared" si="1"/>
        <v>4.2136752136741507E-2</v>
      </c>
      <c r="U65" s="179"/>
      <c r="V65" s="179" t="s">
        <v>460</v>
      </c>
      <c r="W65" s="179">
        <v>25</v>
      </c>
      <c r="X65" s="179">
        <v>90</v>
      </c>
    </row>
    <row r="66" spans="2:24" x14ac:dyDescent="0.3">
      <c r="B66" s="139">
        <v>63</v>
      </c>
      <c r="C66" s="7">
        <v>248</v>
      </c>
      <c r="D66" s="197" t="s">
        <v>579</v>
      </c>
      <c r="E66" s="151" t="s">
        <v>568</v>
      </c>
      <c r="F66" s="196" t="s">
        <v>580</v>
      </c>
      <c r="G66" s="128" t="s">
        <v>458</v>
      </c>
      <c r="H66" s="2">
        <v>4</v>
      </c>
      <c r="I66" s="1">
        <v>3</v>
      </c>
      <c r="J66" s="5">
        <v>9.6500000000000002E-2</v>
      </c>
      <c r="K66" s="8">
        <v>4.4550645984366775E-2</v>
      </c>
      <c r="L66" s="128" t="s">
        <v>459</v>
      </c>
      <c r="M66" s="1">
        <v>11</v>
      </c>
      <c r="N66" s="181">
        <v>130.41</v>
      </c>
      <c r="O66" s="186">
        <v>238.3</v>
      </c>
      <c r="P66" s="150">
        <v>372.48</v>
      </c>
      <c r="Q66" s="179">
        <v>74.45</v>
      </c>
      <c r="R66" s="150">
        <v>246.91</v>
      </c>
      <c r="S66" s="179">
        <f t="shared" si="0"/>
        <v>246.91</v>
      </c>
      <c r="T66" s="179">
        <f t="shared" si="1"/>
        <v>0</v>
      </c>
      <c r="U66" s="185">
        <f>M66/R66</f>
        <v>4.4550645984366775E-2</v>
      </c>
      <c r="V66" s="179" t="s">
        <v>460</v>
      </c>
      <c r="W66" s="179">
        <v>16</v>
      </c>
      <c r="X66" s="179">
        <v>58</v>
      </c>
    </row>
    <row r="67" spans="2:24" x14ac:dyDescent="0.3">
      <c r="B67" s="139">
        <v>64</v>
      </c>
      <c r="C67" s="7">
        <v>249</v>
      </c>
      <c r="D67" s="197" t="s">
        <v>581</v>
      </c>
      <c r="E67" s="151" t="s">
        <v>568</v>
      </c>
      <c r="F67" s="196" t="s">
        <v>582</v>
      </c>
      <c r="G67" s="128" t="s">
        <v>458</v>
      </c>
      <c r="H67" s="2">
        <v>7</v>
      </c>
      <c r="I67" s="1">
        <v>5</v>
      </c>
      <c r="J67" s="5">
        <v>0.1754</v>
      </c>
      <c r="K67" s="8">
        <v>7.2499999999999995E-2</v>
      </c>
      <c r="L67" s="128" t="s">
        <v>459</v>
      </c>
      <c r="M67" s="1">
        <v>5</v>
      </c>
      <c r="N67" s="181">
        <v>10.48</v>
      </c>
      <c r="O67" s="186">
        <v>66.44</v>
      </c>
      <c r="P67" s="150">
        <v>162.62</v>
      </c>
      <c r="Q67" s="179">
        <v>49.46</v>
      </c>
      <c r="R67" s="150">
        <v>68.98</v>
      </c>
      <c r="S67" s="179">
        <f t="shared" si="0"/>
        <v>68.965517241379317</v>
      </c>
      <c r="T67" s="179">
        <f t="shared" si="1"/>
        <v>1.4482758620687264E-2</v>
      </c>
      <c r="U67" s="179"/>
      <c r="V67" s="179" t="s">
        <v>460</v>
      </c>
      <c r="W67" s="179">
        <v>43</v>
      </c>
      <c r="X67" s="179">
        <v>90</v>
      </c>
    </row>
    <row r="68" spans="2:24" x14ac:dyDescent="0.3">
      <c r="B68" s="139">
        <v>65</v>
      </c>
      <c r="C68" s="7">
        <v>250</v>
      </c>
      <c r="D68" s="197" t="s">
        <v>583</v>
      </c>
      <c r="E68" s="151" t="s">
        <v>568</v>
      </c>
      <c r="F68" s="196" t="s">
        <v>584</v>
      </c>
      <c r="G68" s="128" t="s">
        <v>458</v>
      </c>
      <c r="H68" s="2">
        <v>6</v>
      </c>
      <c r="I68" s="1">
        <v>2</v>
      </c>
      <c r="J68" s="5">
        <v>0.1051</v>
      </c>
      <c r="K68" s="8">
        <v>0.1048</v>
      </c>
      <c r="L68" s="128" t="s">
        <v>459</v>
      </c>
      <c r="M68" s="1">
        <v>4</v>
      </c>
      <c r="N68" s="181">
        <v>13.04</v>
      </c>
      <c r="O68" s="186">
        <v>38.19</v>
      </c>
      <c r="P68" s="150">
        <v>74.03</v>
      </c>
      <c r="Q68" s="179">
        <v>19.09</v>
      </c>
      <c r="R68" s="150">
        <v>38.18</v>
      </c>
      <c r="S68" s="179">
        <f t="shared" si="0"/>
        <v>38.167938931297705</v>
      </c>
      <c r="T68" s="179">
        <f t="shared" si="1"/>
        <v>1.2061068702294619E-2</v>
      </c>
      <c r="U68" s="179"/>
      <c r="V68" s="179" t="s">
        <v>460</v>
      </c>
      <c r="W68" s="179" t="s">
        <v>460</v>
      </c>
      <c r="X68" s="179" t="s">
        <v>460</v>
      </c>
    </row>
    <row r="69" spans="2:24" x14ac:dyDescent="0.3">
      <c r="B69" s="139">
        <v>66</v>
      </c>
      <c r="C69" s="7">
        <v>251</v>
      </c>
      <c r="D69" s="197" t="s">
        <v>585</v>
      </c>
      <c r="E69" s="151" t="s">
        <v>568</v>
      </c>
      <c r="F69" s="196" t="s">
        <v>586</v>
      </c>
      <c r="G69" s="128" t="s">
        <v>458</v>
      </c>
      <c r="H69" s="2">
        <v>6</v>
      </c>
      <c r="I69" s="1">
        <v>2</v>
      </c>
      <c r="J69" s="5">
        <v>0.1051</v>
      </c>
      <c r="K69" s="8">
        <v>0.1048</v>
      </c>
      <c r="L69" s="128" t="s">
        <v>459</v>
      </c>
      <c r="M69" s="1">
        <v>4</v>
      </c>
      <c r="N69" s="181">
        <v>13.04</v>
      </c>
      <c r="O69" s="186">
        <v>38.19</v>
      </c>
      <c r="P69" s="150">
        <v>74.03</v>
      </c>
      <c r="Q69" s="179">
        <v>19.09</v>
      </c>
      <c r="R69" s="150">
        <v>38.18</v>
      </c>
      <c r="S69" s="179">
        <f t="shared" ref="S69:S132" si="2">M69/K69</f>
        <v>38.167938931297705</v>
      </c>
      <c r="T69" s="179">
        <f t="shared" ref="T69:T132" si="3">ABS(R69-S69)</f>
        <v>1.2061068702294619E-2</v>
      </c>
      <c r="U69" s="179"/>
      <c r="V69" s="179" t="s">
        <v>460</v>
      </c>
      <c r="W69" s="179" t="s">
        <v>460</v>
      </c>
      <c r="X69" s="179" t="s">
        <v>460</v>
      </c>
    </row>
    <row r="70" spans="2:24" x14ac:dyDescent="0.3">
      <c r="B70" s="139">
        <v>67</v>
      </c>
      <c r="C70" s="7">
        <v>252</v>
      </c>
      <c r="D70" s="197" t="s">
        <v>587</v>
      </c>
      <c r="E70" s="151" t="s">
        <v>568</v>
      </c>
      <c r="F70" s="196" t="s">
        <v>588</v>
      </c>
      <c r="G70" s="128" t="s">
        <v>458</v>
      </c>
      <c r="H70" s="2">
        <v>10</v>
      </c>
      <c r="I70" s="1">
        <v>4</v>
      </c>
      <c r="J70" s="5">
        <v>0.29870000000000002</v>
      </c>
      <c r="K70" s="8">
        <v>0.24970000000000001</v>
      </c>
      <c r="L70" s="128" t="s">
        <v>459</v>
      </c>
      <c r="M70" s="1">
        <v>73</v>
      </c>
      <c r="N70" s="181">
        <v>18.309999999999999</v>
      </c>
      <c r="O70" s="186">
        <v>324.68</v>
      </c>
      <c r="P70" s="150">
        <v>960.23</v>
      </c>
      <c r="Q70" s="179">
        <v>319.45</v>
      </c>
      <c r="R70" s="150">
        <v>292.32</v>
      </c>
      <c r="S70" s="179">
        <f t="shared" si="2"/>
        <v>292.35082098518222</v>
      </c>
      <c r="T70" s="179">
        <f t="shared" si="3"/>
        <v>3.0820985182231198E-2</v>
      </c>
      <c r="U70" s="179"/>
      <c r="V70" s="179" t="s">
        <v>460</v>
      </c>
      <c r="W70" s="179">
        <v>19</v>
      </c>
      <c r="X70" s="179">
        <v>125</v>
      </c>
    </row>
    <row r="71" spans="2:24" x14ac:dyDescent="0.3">
      <c r="B71" s="139">
        <v>68</v>
      </c>
      <c r="C71" s="7">
        <v>257</v>
      </c>
      <c r="D71" s="197" t="s">
        <v>589</v>
      </c>
      <c r="E71" s="151" t="s">
        <v>568</v>
      </c>
      <c r="F71" s="196" t="s">
        <v>590</v>
      </c>
      <c r="G71" s="128" t="s">
        <v>458</v>
      </c>
      <c r="H71" s="2">
        <v>1</v>
      </c>
      <c r="I71" s="1">
        <v>1</v>
      </c>
      <c r="J71" s="5">
        <v>1.7500000000000002E-2</v>
      </c>
      <c r="K71" s="8">
        <v>1.6519823788546256E-2</v>
      </c>
      <c r="L71" s="128" t="s">
        <v>459</v>
      </c>
      <c r="M71" s="1">
        <v>6</v>
      </c>
      <c r="N71" s="181">
        <v>158.29</v>
      </c>
      <c r="O71" s="186">
        <v>363.2</v>
      </c>
      <c r="P71" s="150">
        <v>716.71</v>
      </c>
      <c r="Q71" s="179">
        <v>148.27000000000001</v>
      </c>
      <c r="R71" s="150">
        <v>363.2</v>
      </c>
      <c r="S71" s="179">
        <f t="shared" si="2"/>
        <v>363.2</v>
      </c>
      <c r="T71" s="179">
        <f t="shared" si="3"/>
        <v>0</v>
      </c>
      <c r="U71" s="194">
        <f>M71/R71</f>
        <v>1.6519823788546256E-2</v>
      </c>
      <c r="V71" s="179" t="s">
        <v>460</v>
      </c>
      <c r="W71" s="179">
        <v>31</v>
      </c>
      <c r="X71" s="179">
        <v>125</v>
      </c>
    </row>
    <row r="72" spans="2:24" x14ac:dyDescent="0.3">
      <c r="B72" s="139">
        <v>69</v>
      </c>
      <c r="C72" s="7">
        <v>258</v>
      </c>
      <c r="D72" s="197" t="s">
        <v>591</v>
      </c>
      <c r="E72" s="151" t="s">
        <v>568</v>
      </c>
      <c r="F72" s="196" t="s">
        <v>592</v>
      </c>
      <c r="G72" s="128" t="s">
        <v>458</v>
      </c>
      <c r="H72" s="2">
        <v>1</v>
      </c>
      <c r="I72" s="1">
        <v>1</v>
      </c>
      <c r="J72" s="5">
        <v>1.7500000000000002E-2</v>
      </c>
      <c r="K72" s="8">
        <v>1.6519823788546256E-2</v>
      </c>
      <c r="L72" s="128" t="s">
        <v>459</v>
      </c>
      <c r="M72" s="1">
        <v>6</v>
      </c>
      <c r="N72" s="181">
        <v>158.29</v>
      </c>
      <c r="O72" s="186">
        <v>363.2</v>
      </c>
      <c r="P72" s="150">
        <v>716.71</v>
      </c>
      <c r="Q72" s="179">
        <v>148.27000000000001</v>
      </c>
      <c r="R72" s="150">
        <v>363.2</v>
      </c>
      <c r="S72" s="179">
        <f t="shared" si="2"/>
        <v>363.2</v>
      </c>
      <c r="T72" s="179">
        <f t="shared" si="3"/>
        <v>0</v>
      </c>
      <c r="U72" s="179"/>
      <c r="V72" s="179" t="s">
        <v>460</v>
      </c>
      <c r="W72" s="179">
        <v>31</v>
      </c>
      <c r="X72" s="179">
        <v>125</v>
      </c>
    </row>
    <row r="73" spans="2:24" x14ac:dyDescent="0.3">
      <c r="B73" s="139">
        <v>70</v>
      </c>
      <c r="C73" s="7">
        <v>259</v>
      </c>
      <c r="D73" s="197" t="s">
        <v>593</v>
      </c>
      <c r="E73" s="151" t="s">
        <v>568</v>
      </c>
      <c r="F73" s="196" t="s">
        <v>594</v>
      </c>
      <c r="G73" s="128" t="s">
        <v>458</v>
      </c>
      <c r="H73" s="2">
        <v>9</v>
      </c>
      <c r="I73" s="1">
        <v>4</v>
      </c>
      <c r="J73" s="5">
        <v>0.28110000000000002</v>
      </c>
      <c r="K73" s="8">
        <v>0.23319999999999999</v>
      </c>
      <c r="L73" s="128" t="s">
        <v>459</v>
      </c>
      <c r="M73" s="1">
        <v>67</v>
      </c>
      <c r="N73" s="181">
        <v>21.03</v>
      </c>
      <c r="O73" s="186">
        <v>350.35</v>
      </c>
      <c r="P73" s="150">
        <v>1028.68</v>
      </c>
      <c r="Q73" s="179">
        <v>341.47</v>
      </c>
      <c r="R73" s="150">
        <v>287.3</v>
      </c>
      <c r="S73" s="179">
        <f t="shared" si="2"/>
        <v>287.30703259005145</v>
      </c>
      <c r="T73" s="179">
        <f t="shared" si="3"/>
        <v>7.0325900514376372E-3</v>
      </c>
      <c r="U73" s="179"/>
      <c r="V73" s="179" t="s">
        <v>460</v>
      </c>
      <c r="W73" s="179">
        <v>18</v>
      </c>
      <c r="X73" s="179">
        <v>105</v>
      </c>
    </row>
    <row r="74" spans="2:24" x14ac:dyDescent="0.3">
      <c r="B74" s="139">
        <v>71</v>
      </c>
      <c r="C74" s="7">
        <v>260</v>
      </c>
      <c r="D74" s="197" t="s">
        <v>595</v>
      </c>
      <c r="E74" s="151" t="s">
        <v>568</v>
      </c>
      <c r="F74" s="196" t="s">
        <v>596</v>
      </c>
      <c r="G74" s="128" t="s">
        <v>458</v>
      </c>
      <c r="H74" s="2">
        <v>5</v>
      </c>
      <c r="I74" s="1">
        <v>2</v>
      </c>
      <c r="J74" s="5">
        <v>0.1512</v>
      </c>
      <c r="K74" s="8">
        <v>0.13930000000000001</v>
      </c>
      <c r="L74" s="128" t="s">
        <v>459</v>
      </c>
      <c r="M74" s="1">
        <v>32</v>
      </c>
      <c r="N74" s="181">
        <v>2.66</v>
      </c>
      <c r="O74" s="186">
        <v>400.19</v>
      </c>
      <c r="P74" s="150">
        <v>1384.89</v>
      </c>
      <c r="Q74" s="179">
        <v>510.7</v>
      </c>
      <c r="R74" s="150">
        <v>229.73</v>
      </c>
      <c r="S74" s="179">
        <f t="shared" si="2"/>
        <v>229.72002871500356</v>
      </c>
      <c r="T74" s="179">
        <f t="shared" si="3"/>
        <v>9.9712849964248562E-3</v>
      </c>
      <c r="U74" s="179"/>
      <c r="V74" s="179" t="s">
        <v>460</v>
      </c>
      <c r="W74" s="179">
        <v>23</v>
      </c>
      <c r="X74" s="179">
        <v>96</v>
      </c>
    </row>
    <row r="75" spans="2:24" x14ac:dyDescent="0.3">
      <c r="B75" s="139">
        <v>72</v>
      </c>
      <c r="C75" s="7">
        <v>261</v>
      </c>
      <c r="D75" s="197" t="s">
        <v>597</v>
      </c>
      <c r="E75" s="151" t="s">
        <v>568</v>
      </c>
      <c r="F75" s="196" t="s">
        <v>598</v>
      </c>
      <c r="G75" s="128" t="s">
        <v>458</v>
      </c>
      <c r="H75" s="2">
        <v>2</v>
      </c>
      <c r="I75" s="1">
        <v>1</v>
      </c>
      <c r="J75" s="5">
        <v>6.6400000000000001E-2</v>
      </c>
      <c r="K75" s="8">
        <v>4.0899999999999999E-2</v>
      </c>
      <c r="L75" s="128" t="s">
        <v>459</v>
      </c>
      <c r="M75" s="1">
        <v>5</v>
      </c>
      <c r="N75" s="181">
        <v>48.17</v>
      </c>
      <c r="O75" s="186">
        <v>122.26</v>
      </c>
      <c r="P75" s="150">
        <v>257.12</v>
      </c>
      <c r="Q75" s="179">
        <v>54.68</v>
      </c>
      <c r="R75" s="150">
        <v>122.26</v>
      </c>
      <c r="S75" s="179">
        <f t="shared" si="2"/>
        <v>122.24938875305624</v>
      </c>
      <c r="T75" s="179">
        <f t="shared" si="3"/>
        <v>1.0611246943767583E-2</v>
      </c>
      <c r="U75" s="179"/>
      <c r="V75" s="179" t="s">
        <v>460</v>
      </c>
      <c r="W75" s="179">
        <v>23</v>
      </c>
      <c r="X75" s="179">
        <v>105</v>
      </c>
    </row>
    <row r="76" spans="2:24" x14ac:dyDescent="0.3">
      <c r="B76" s="139">
        <v>73</v>
      </c>
      <c r="C76" s="7">
        <v>262</v>
      </c>
      <c r="D76" s="197" t="s">
        <v>599</v>
      </c>
      <c r="E76" s="151" t="s">
        <v>568</v>
      </c>
      <c r="F76" s="196" t="s">
        <v>600</v>
      </c>
      <c r="G76" s="128" t="s">
        <v>458</v>
      </c>
      <c r="H76" s="2">
        <v>2</v>
      </c>
      <c r="I76" s="1">
        <v>2</v>
      </c>
      <c r="J76" s="5">
        <v>6.3500000000000001E-2</v>
      </c>
      <c r="K76" s="8">
        <v>5.3013836611355565E-2</v>
      </c>
      <c r="L76" s="128" t="s">
        <v>459</v>
      </c>
      <c r="M76" s="1">
        <v>30</v>
      </c>
      <c r="N76" s="181">
        <v>410.51</v>
      </c>
      <c r="O76" s="186">
        <v>569.16</v>
      </c>
      <c r="P76" s="150">
        <v>749.06</v>
      </c>
      <c r="Q76" s="179">
        <v>103.32</v>
      </c>
      <c r="R76" s="150">
        <v>565.89</v>
      </c>
      <c r="S76" s="179">
        <f t="shared" si="2"/>
        <v>565.89</v>
      </c>
      <c r="T76" s="179">
        <f t="shared" si="3"/>
        <v>0</v>
      </c>
      <c r="U76" s="185">
        <f>M76/R76</f>
        <v>5.3013836611355565E-2</v>
      </c>
      <c r="V76" s="179" t="s">
        <v>460</v>
      </c>
      <c r="W76" s="179">
        <v>11</v>
      </c>
      <c r="X76" s="179">
        <v>63</v>
      </c>
    </row>
    <row r="77" spans="2:24" x14ac:dyDescent="0.3">
      <c r="B77" s="139">
        <v>74</v>
      </c>
      <c r="C77" s="7">
        <v>266</v>
      </c>
      <c r="D77" s="197" t="s">
        <v>601</v>
      </c>
      <c r="E77" s="151" t="s">
        <v>602</v>
      </c>
      <c r="F77" s="196" t="s">
        <v>603</v>
      </c>
      <c r="G77" s="128" t="s">
        <v>458</v>
      </c>
      <c r="H77" s="2">
        <v>143</v>
      </c>
      <c r="I77" s="1">
        <v>11</v>
      </c>
      <c r="J77" s="5">
        <v>3.4249000000000001</v>
      </c>
      <c r="K77" s="8">
        <v>2.6212</v>
      </c>
      <c r="L77" s="128" t="s">
        <v>459</v>
      </c>
      <c r="M77" s="1">
        <v>128</v>
      </c>
      <c r="N77" s="181">
        <v>14.32</v>
      </c>
      <c r="O77" s="186">
        <v>72.849999999999994</v>
      </c>
      <c r="P77" s="150">
        <v>168.66</v>
      </c>
      <c r="Q77" s="179">
        <v>49.61</v>
      </c>
      <c r="R77" s="150">
        <v>48.83</v>
      </c>
      <c r="S77" s="179">
        <f t="shared" si="2"/>
        <v>48.832595757668244</v>
      </c>
      <c r="T77" s="179">
        <f t="shared" si="3"/>
        <v>2.5957576682458239E-3</v>
      </c>
      <c r="U77" s="179"/>
      <c r="V77" s="179" t="s">
        <v>460</v>
      </c>
      <c r="W77" s="179">
        <v>9.4</v>
      </c>
      <c r="X77" s="179">
        <v>114</v>
      </c>
    </row>
    <row r="78" spans="2:24" x14ac:dyDescent="0.3">
      <c r="B78" s="139">
        <v>75</v>
      </c>
      <c r="C78" s="7">
        <v>272</v>
      </c>
      <c r="D78" s="197" t="s">
        <v>323</v>
      </c>
      <c r="E78" s="151" t="s">
        <v>602</v>
      </c>
      <c r="F78" s="201" t="s">
        <v>604</v>
      </c>
      <c r="G78" s="128" t="s">
        <v>458</v>
      </c>
      <c r="H78" s="1">
        <v>29</v>
      </c>
      <c r="I78" s="1">
        <v>6</v>
      </c>
      <c r="J78" s="7">
        <v>0.82969999999999999</v>
      </c>
      <c r="K78" s="7">
        <v>0.60470000000000002</v>
      </c>
      <c r="L78" s="128" t="s">
        <v>459</v>
      </c>
      <c r="M78" s="1">
        <v>59</v>
      </c>
      <c r="N78" s="150">
        <v>31.73</v>
      </c>
      <c r="O78" s="186">
        <v>170.53</v>
      </c>
      <c r="P78" s="150">
        <v>400.17</v>
      </c>
      <c r="Q78" s="150">
        <v>118.6</v>
      </c>
      <c r="R78" s="150">
        <v>97.57</v>
      </c>
      <c r="S78" s="179">
        <f t="shared" si="2"/>
        <v>97.569042500413431</v>
      </c>
      <c r="T78" s="179">
        <f t="shared" si="3"/>
        <v>9.5749958656199397E-4</v>
      </c>
      <c r="U78" s="179"/>
      <c r="V78" s="179" t="s">
        <v>460</v>
      </c>
      <c r="W78" s="179">
        <v>8.1</v>
      </c>
      <c r="X78" s="179">
        <v>50</v>
      </c>
    </row>
    <row r="79" spans="2:24" x14ac:dyDescent="0.3">
      <c r="B79" s="139">
        <v>76</v>
      </c>
      <c r="C79" s="7">
        <v>275</v>
      </c>
      <c r="D79" s="197" t="s">
        <v>605</v>
      </c>
      <c r="E79" s="151" t="s">
        <v>602</v>
      </c>
      <c r="F79" s="201" t="s">
        <v>606</v>
      </c>
      <c r="G79" s="128" t="s">
        <v>458</v>
      </c>
      <c r="H79" s="2">
        <v>5</v>
      </c>
      <c r="I79" s="1">
        <v>1</v>
      </c>
      <c r="J79" s="5">
        <v>0.24640000000000001</v>
      </c>
      <c r="K79" s="8">
        <v>0.1825</v>
      </c>
      <c r="L79" s="128" t="s">
        <v>459</v>
      </c>
      <c r="M79" s="1">
        <v>4</v>
      </c>
      <c r="N79" s="181">
        <v>7.48</v>
      </c>
      <c r="O79" s="186">
        <v>21.92</v>
      </c>
      <c r="P79" s="150">
        <v>50.16</v>
      </c>
      <c r="Q79" s="179">
        <v>10.96</v>
      </c>
      <c r="R79" s="150">
        <v>21.92</v>
      </c>
      <c r="S79" s="179">
        <f t="shared" si="2"/>
        <v>21.917808219178081</v>
      </c>
      <c r="T79" s="179">
        <f t="shared" si="3"/>
        <v>2.1917808219207302E-3</v>
      </c>
      <c r="U79" s="179"/>
      <c r="V79" s="179" t="s">
        <v>460</v>
      </c>
      <c r="W79" s="179">
        <v>6</v>
      </c>
      <c r="X79" s="179">
        <v>18</v>
      </c>
    </row>
    <row r="80" spans="2:24" x14ac:dyDescent="0.3">
      <c r="B80" s="139">
        <v>77</v>
      </c>
      <c r="C80" s="7">
        <v>276</v>
      </c>
      <c r="D80" s="197" t="s">
        <v>607</v>
      </c>
      <c r="E80" s="151" t="s">
        <v>602</v>
      </c>
      <c r="F80" s="201" t="s">
        <v>608</v>
      </c>
      <c r="G80" s="128" t="s">
        <v>458</v>
      </c>
      <c r="H80" s="2">
        <v>1</v>
      </c>
      <c r="I80" s="1">
        <v>1</v>
      </c>
      <c r="J80" s="5">
        <v>7.5600000000000001E-2</v>
      </c>
      <c r="K80" s="8">
        <v>2.18E-2</v>
      </c>
      <c r="L80" s="128" t="s">
        <v>459</v>
      </c>
      <c r="M80" s="1">
        <v>0</v>
      </c>
      <c r="N80" s="181">
        <v>0.08</v>
      </c>
      <c r="O80" s="186">
        <v>20.18</v>
      </c>
      <c r="P80" s="150">
        <v>77.510000000000005</v>
      </c>
      <c r="Q80" s="179">
        <v>28.54</v>
      </c>
      <c r="R80" s="150">
        <v>0</v>
      </c>
      <c r="S80" s="179">
        <f t="shared" si="2"/>
        <v>0</v>
      </c>
      <c r="T80" s="179">
        <f t="shared" si="3"/>
        <v>0</v>
      </c>
      <c r="U80" s="179"/>
      <c r="V80" s="179" t="s">
        <v>460</v>
      </c>
      <c r="W80" s="179" t="s">
        <v>460</v>
      </c>
      <c r="X80" s="179" t="s">
        <v>460</v>
      </c>
    </row>
    <row r="81" spans="2:24" x14ac:dyDescent="0.3">
      <c r="B81" s="139">
        <v>78</v>
      </c>
      <c r="C81" s="7">
        <v>277</v>
      </c>
      <c r="D81" s="197" t="s">
        <v>609</v>
      </c>
      <c r="E81" s="151" t="s">
        <v>602</v>
      </c>
      <c r="F81" s="196" t="s">
        <v>610</v>
      </c>
      <c r="G81" s="128" t="s">
        <v>458</v>
      </c>
      <c r="H81" s="1">
        <v>8</v>
      </c>
      <c r="I81" s="1">
        <v>2</v>
      </c>
      <c r="J81" s="5">
        <v>0.1512</v>
      </c>
      <c r="K81" s="5">
        <v>8.4900000000000003E-2</v>
      </c>
      <c r="L81" s="128" t="s">
        <v>459</v>
      </c>
      <c r="M81" s="1">
        <v>9</v>
      </c>
      <c r="N81" s="181">
        <v>53.84</v>
      </c>
      <c r="O81" s="186">
        <v>104.4</v>
      </c>
      <c r="P81" s="150">
        <v>168.47</v>
      </c>
      <c r="Q81" s="179">
        <v>35.32</v>
      </c>
      <c r="R81" s="150">
        <v>105.96</v>
      </c>
      <c r="S81" s="179">
        <f t="shared" si="2"/>
        <v>106.00706713780919</v>
      </c>
      <c r="T81" s="179">
        <f t="shared" si="3"/>
        <v>4.7067137809193582E-2</v>
      </c>
      <c r="U81" s="179"/>
      <c r="V81" s="179" t="s">
        <v>460</v>
      </c>
      <c r="W81" s="179">
        <v>10</v>
      </c>
      <c r="X81" s="179">
        <v>31</v>
      </c>
    </row>
    <row r="82" spans="2:24" x14ac:dyDescent="0.3">
      <c r="B82" s="139">
        <v>79</v>
      </c>
      <c r="C82" s="7">
        <v>279</v>
      </c>
      <c r="D82" s="197" t="s">
        <v>611</v>
      </c>
      <c r="E82" s="151" t="s">
        <v>602</v>
      </c>
      <c r="F82" s="196" t="s">
        <v>612</v>
      </c>
      <c r="G82" s="128" t="s">
        <v>458</v>
      </c>
      <c r="H82" s="2">
        <v>13</v>
      </c>
      <c r="I82" s="2">
        <v>3</v>
      </c>
      <c r="J82" s="2">
        <v>0.25800000000000001</v>
      </c>
      <c r="K82" s="129">
        <v>0.2424</v>
      </c>
      <c r="L82" s="128" t="s">
        <v>459</v>
      </c>
      <c r="M82" s="1">
        <v>46</v>
      </c>
      <c r="N82" s="177">
        <v>94.74</v>
      </c>
      <c r="O82" s="178">
        <v>261.5</v>
      </c>
      <c r="P82" s="177">
        <v>495.72</v>
      </c>
      <c r="Q82" s="177">
        <v>125.31</v>
      </c>
      <c r="R82" s="150">
        <v>189.77</v>
      </c>
      <c r="S82" s="179">
        <f t="shared" si="2"/>
        <v>189.76897689768975</v>
      </c>
      <c r="T82" s="179">
        <f t="shared" si="3"/>
        <v>1.0231023102562631E-3</v>
      </c>
      <c r="U82" s="179"/>
      <c r="V82" s="179" t="s">
        <v>460</v>
      </c>
      <c r="W82" s="179">
        <v>7.8</v>
      </c>
      <c r="X82" s="179">
        <v>50</v>
      </c>
    </row>
    <row r="83" spans="2:24" x14ac:dyDescent="0.3">
      <c r="B83" s="139">
        <v>80</v>
      </c>
      <c r="C83" s="7">
        <v>280</v>
      </c>
      <c r="D83" s="197" t="s">
        <v>613</v>
      </c>
      <c r="E83" s="151" t="s">
        <v>602</v>
      </c>
      <c r="F83" s="196" t="s">
        <v>614</v>
      </c>
      <c r="G83" s="128" t="s">
        <v>458</v>
      </c>
      <c r="H83" s="2">
        <v>2</v>
      </c>
      <c r="I83" s="1">
        <v>1</v>
      </c>
      <c r="J83" s="5">
        <v>9.8500000000000004E-2</v>
      </c>
      <c r="K83" s="132">
        <v>7.2999999999999995E-2</v>
      </c>
      <c r="L83" s="128" t="s">
        <v>459</v>
      </c>
      <c r="M83" s="1">
        <v>0</v>
      </c>
      <c r="N83" s="181">
        <v>0.03</v>
      </c>
      <c r="O83" s="186">
        <v>6.58</v>
      </c>
      <c r="P83" s="150">
        <v>25.28</v>
      </c>
      <c r="Q83" s="179">
        <v>9.31</v>
      </c>
      <c r="R83" s="179">
        <v>0</v>
      </c>
      <c r="S83" s="179">
        <f t="shared" si="2"/>
        <v>0</v>
      </c>
      <c r="T83" s="179">
        <f t="shared" si="3"/>
        <v>0</v>
      </c>
      <c r="U83" s="179"/>
      <c r="V83" s="179" t="s">
        <v>460</v>
      </c>
      <c r="W83" s="179" t="s">
        <v>460</v>
      </c>
      <c r="X83" s="179" t="s">
        <v>460</v>
      </c>
    </row>
    <row r="84" spans="2:24" x14ac:dyDescent="0.3">
      <c r="B84" s="139">
        <v>81</v>
      </c>
      <c r="C84" s="7">
        <v>282</v>
      </c>
      <c r="D84" s="197" t="s">
        <v>615</v>
      </c>
      <c r="E84" s="151" t="s">
        <v>602</v>
      </c>
      <c r="F84" s="196" t="s">
        <v>616</v>
      </c>
      <c r="G84" s="128" t="s">
        <v>458</v>
      </c>
      <c r="H84" s="2">
        <v>114</v>
      </c>
      <c r="I84" s="1">
        <v>7</v>
      </c>
      <c r="J84" s="5">
        <v>2.5952000000000002</v>
      </c>
      <c r="K84" s="132">
        <v>2.0165000000000002</v>
      </c>
      <c r="L84" s="128" t="s">
        <v>459</v>
      </c>
      <c r="M84" s="1">
        <v>69</v>
      </c>
      <c r="N84" s="181">
        <v>5.95</v>
      </c>
      <c r="O84" s="186">
        <v>35.42</v>
      </c>
      <c r="P84" s="150">
        <v>85.3</v>
      </c>
      <c r="Q84" s="179">
        <v>25.69</v>
      </c>
      <c r="R84" s="150">
        <v>34.22</v>
      </c>
      <c r="S84" s="179">
        <f t="shared" si="2"/>
        <v>34.217703942474579</v>
      </c>
      <c r="T84" s="179">
        <f t="shared" si="3"/>
        <v>2.2960575254202809E-3</v>
      </c>
      <c r="U84" s="179"/>
      <c r="V84" s="179" t="s">
        <v>460</v>
      </c>
      <c r="W84" s="179">
        <v>11</v>
      </c>
      <c r="X84" s="179">
        <v>114</v>
      </c>
    </row>
    <row r="85" spans="2:24" x14ac:dyDescent="0.3">
      <c r="B85" s="139">
        <v>82</v>
      </c>
      <c r="C85" s="7">
        <v>286</v>
      </c>
      <c r="D85" s="197" t="s">
        <v>617</v>
      </c>
      <c r="E85" s="151" t="s">
        <v>602</v>
      </c>
      <c r="F85" s="196" t="s">
        <v>618</v>
      </c>
      <c r="G85" s="128" t="s">
        <v>458</v>
      </c>
      <c r="H85" s="2">
        <v>25</v>
      </c>
      <c r="I85" s="1">
        <v>1</v>
      </c>
      <c r="J85" s="5">
        <v>0.438</v>
      </c>
      <c r="K85" s="132">
        <v>0.433</v>
      </c>
      <c r="L85" s="128" t="s">
        <v>459</v>
      </c>
      <c r="M85" s="1">
        <v>8</v>
      </c>
      <c r="N85" s="181">
        <v>9.19</v>
      </c>
      <c r="O85" s="186">
        <v>18.48</v>
      </c>
      <c r="P85" s="150">
        <v>33.340000000000003</v>
      </c>
      <c r="Q85" s="179">
        <v>6.53</v>
      </c>
      <c r="R85" s="150">
        <v>18.48</v>
      </c>
      <c r="S85" s="179">
        <f t="shared" si="2"/>
        <v>18.475750577367204</v>
      </c>
      <c r="T85" s="179">
        <f t="shared" si="3"/>
        <v>4.2494226327960405E-3</v>
      </c>
      <c r="U85" s="179"/>
      <c r="V85" s="179" t="s">
        <v>460</v>
      </c>
      <c r="W85" s="179">
        <v>8</v>
      </c>
      <c r="X85" s="179">
        <v>14</v>
      </c>
    </row>
    <row r="86" spans="2:24" x14ac:dyDescent="0.3">
      <c r="B86" s="139">
        <v>83</v>
      </c>
      <c r="C86" s="7">
        <v>287</v>
      </c>
      <c r="D86" s="197" t="s">
        <v>619</v>
      </c>
      <c r="E86" s="151" t="s">
        <v>602</v>
      </c>
      <c r="F86" s="196" t="s">
        <v>620</v>
      </c>
      <c r="G86" s="128" t="s">
        <v>458</v>
      </c>
      <c r="H86" s="2">
        <v>3</v>
      </c>
      <c r="I86" s="1">
        <v>1</v>
      </c>
      <c r="J86" s="5">
        <v>0.14779999999999999</v>
      </c>
      <c r="K86" s="132">
        <v>0.1095</v>
      </c>
      <c r="L86" s="128" t="s">
        <v>459</v>
      </c>
      <c r="M86" s="1">
        <v>2</v>
      </c>
      <c r="N86" s="181">
        <v>3.24</v>
      </c>
      <c r="O86" s="186">
        <v>18.260000000000002</v>
      </c>
      <c r="P86" s="150">
        <v>57.48</v>
      </c>
      <c r="Q86" s="179">
        <v>12.91</v>
      </c>
      <c r="R86" s="150">
        <v>18.260000000000002</v>
      </c>
      <c r="S86" s="179">
        <f t="shared" si="2"/>
        <v>18.264840182648403</v>
      </c>
      <c r="T86" s="179">
        <f t="shared" si="3"/>
        <v>4.8401826484010257E-3</v>
      </c>
      <c r="U86" s="179"/>
      <c r="V86" s="179" t="s">
        <v>460</v>
      </c>
      <c r="W86" s="179">
        <v>1.5</v>
      </c>
      <c r="X86" s="179">
        <v>2</v>
      </c>
    </row>
    <row r="87" spans="2:24" x14ac:dyDescent="0.3">
      <c r="B87" s="139">
        <v>84</v>
      </c>
      <c r="C87" s="7">
        <v>288</v>
      </c>
      <c r="D87" s="197" t="s">
        <v>621</v>
      </c>
      <c r="E87" s="151" t="s">
        <v>602</v>
      </c>
      <c r="F87" s="196" t="s">
        <v>622</v>
      </c>
      <c r="G87" s="128" t="s">
        <v>458</v>
      </c>
      <c r="H87" s="2">
        <v>12</v>
      </c>
      <c r="I87" s="1">
        <v>3</v>
      </c>
      <c r="J87" s="5">
        <v>0.2102</v>
      </c>
      <c r="K87" s="132">
        <v>0.11990000000000001</v>
      </c>
      <c r="L87" s="128" t="s">
        <v>459</v>
      </c>
      <c r="M87" s="1">
        <v>7</v>
      </c>
      <c r="N87" s="181">
        <v>16.86</v>
      </c>
      <c r="O87" s="186">
        <v>64.260000000000005</v>
      </c>
      <c r="P87" s="150">
        <v>136.71</v>
      </c>
      <c r="Q87" s="179">
        <v>38.03</v>
      </c>
      <c r="R87" s="150">
        <v>58.37</v>
      </c>
      <c r="S87" s="179">
        <f t="shared" si="2"/>
        <v>58.381984987489574</v>
      </c>
      <c r="T87" s="179">
        <f t="shared" si="3"/>
        <v>1.1984987489576326E-2</v>
      </c>
      <c r="U87" s="179"/>
      <c r="V87" s="179" t="s">
        <v>460</v>
      </c>
      <c r="W87" s="179">
        <v>5.5</v>
      </c>
      <c r="X87" s="179">
        <v>6</v>
      </c>
    </row>
    <row r="88" spans="2:24" x14ac:dyDescent="0.3">
      <c r="B88" s="139">
        <v>85</v>
      </c>
      <c r="C88" s="7">
        <v>289</v>
      </c>
      <c r="D88" s="197" t="s">
        <v>623</v>
      </c>
      <c r="E88" s="151" t="s">
        <v>602</v>
      </c>
      <c r="F88" s="196" t="s">
        <v>624</v>
      </c>
      <c r="G88" s="128" t="s">
        <v>458</v>
      </c>
      <c r="H88" s="2">
        <v>6</v>
      </c>
      <c r="I88" s="1">
        <v>1</v>
      </c>
      <c r="J88" s="5">
        <v>0.1051</v>
      </c>
      <c r="K88" s="132">
        <v>6.0100000000000001E-2</v>
      </c>
      <c r="L88" s="128" t="s">
        <v>459</v>
      </c>
      <c r="M88" s="1">
        <v>1</v>
      </c>
      <c r="N88" s="181">
        <v>0.83</v>
      </c>
      <c r="O88" s="186">
        <v>16.649999999999999</v>
      </c>
      <c r="P88" s="150">
        <v>78.98</v>
      </c>
      <c r="Q88" s="179">
        <v>16.649999999999999</v>
      </c>
      <c r="R88" s="150">
        <v>16.649999999999999</v>
      </c>
      <c r="S88" s="179">
        <f t="shared" si="2"/>
        <v>16.638935108153078</v>
      </c>
      <c r="T88" s="179">
        <f t="shared" si="3"/>
        <v>1.1064891846920943E-2</v>
      </c>
      <c r="U88" s="179"/>
      <c r="V88" s="179" t="s">
        <v>460</v>
      </c>
      <c r="W88" s="179" t="s">
        <v>460</v>
      </c>
      <c r="X88" s="179" t="s">
        <v>460</v>
      </c>
    </row>
    <row r="89" spans="2:24" x14ac:dyDescent="0.3">
      <c r="B89" s="139">
        <v>86</v>
      </c>
      <c r="C89" s="7">
        <v>290</v>
      </c>
      <c r="D89" s="197" t="s">
        <v>625</v>
      </c>
      <c r="E89" s="151" t="s">
        <v>602</v>
      </c>
      <c r="F89" s="196" t="s">
        <v>626</v>
      </c>
      <c r="G89" s="128" t="s">
        <v>458</v>
      </c>
      <c r="H89" s="2">
        <v>2</v>
      </c>
      <c r="I89" s="1">
        <v>1</v>
      </c>
      <c r="J89" s="5">
        <v>5.2600000000000001E-2</v>
      </c>
      <c r="K89" s="132">
        <v>5.2600000000000001E-2</v>
      </c>
      <c r="L89" s="128" t="s">
        <v>459</v>
      </c>
      <c r="M89" s="1">
        <v>1</v>
      </c>
      <c r="N89" s="181">
        <v>0.95</v>
      </c>
      <c r="O89" s="186">
        <v>19.03</v>
      </c>
      <c r="P89" s="150">
        <v>90.28</v>
      </c>
      <c r="Q89" s="179">
        <v>19.03</v>
      </c>
      <c r="R89" s="150">
        <v>19.03</v>
      </c>
      <c r="S89" s="179">
        <f t="shared" si="2"/>
        <v>19.011406844106464</v>
      </c>
      <c r="T89" s="179">
        <f t="shared" si="3"/>
        <v>1.8593155893537272E-2</v>
      </c>
      <c r="U89" s="179"/>
      <c r="V89" s="179" t="s">
        <v>460</v>
      </c>
      <c r="W89" s="179">
        <v>114</v>
      </c>
      <c r="X89" s="179">
        <v>114</v>
      </c>
    </row>
    <row r="90" spans="2:24" x14ac:dyDescent="0.3">
      <c r="B90" s="139">
        <v>87</v>
      </c>
      <c r="C90" s="7">
        <v>291</v>
      </c>
      <c r="D90" s="197" t="s">
        <v>627</v>
      </c>
      <c r="E90" s="151" t="s">
        <v>602</v>
      </c>
      <c r="F90" s="196" t="s">
        <v>628</v>
      </c>
      <c r="G90" s="128" t="s">
        <v>458</v>
      </c>
      <c r="H90" s="2">
        <v>4</v>
      </c>
      <c r="I90" s="1">
        <v>1</v>
      </c>
      <c r="J90" s="5">
        <v>0.1971</v>
      </c>
      <c r="K90" s="132">
        <v>0.14599999999999999</v>
      </c>
      <c r="L90" s="128" t="s">
        <v>459</v>
      </c>
      <c r="M90" s="1">
        <v>0</v>
      </c>
      <c r="N90" s="181">
        <v>0.01</v>
      </c>
      <c r="O90" s="186">
        <v>3.12</v>
      </c>
      <c r="P90" s="150">
        <v>11.99</v>
      </c>
      <c r="Q90" s="179">
        <v>4.42</v>
      </c>
      <c r="R90" s="179">
        <v>0</v>
      </c>
      <c r="S90" s="179">
        <f t="shared" si="2"/>
        <v>0</v>
      </c>
      <c r="T90" s="179">
        <f t="shared" si="3"/>
        <v>0</v>
      </c>
      <c r="U90" s="179"/>
      <c r="V90" s="179" t="s">
        <v>460</v>
      </c>
      <c r="W90" s="179" t="s">
        <v>460</v>
      </c>
      <c r="X90" s="179" t="s">
        <v>460</v>
      </c>
    </row>
    <row r="91" spans="2:24" x14ac:dyDescent="0.3">
      <c r="B91" s="139">
        <v>88</v>
      </c>
      <c r="C91" s="7">
        <v>292</v>
      </c>
      <c r="D91" s="197" t="s">
        <v>629</v>
      </c>
      <c r="E91" s="151" t="s">
        <v>602</v>
      </c>
      <c r="F91" s="196" t="s">
        <v>630</v>
      </c>
      <c r="G91" s="128" t="s">
        <v>458</v>
      </c>
      <c r="H91" s="2">
        <v>4</v>
      </c>
      <c r="I91" s="1">
        <v>1</v>
      </c>
      <c r="J91" s="5">
        <v>7.0099999999999996E-2</v>
      </c>
      <c r="K91" s="132">
        <v>6.59E-2</v>
      </c>
      <c r="L91" s="128" t="s">
        <v>459</v>
      </c>
      <c r="M91" s="1">
        <v>6</v>
      </c>
      <c r="N91" s="181">
        <v>39.65</v>
      </c>
      <c r="O91" s="186">
        <v>90.99</v>
      </c>
      <c r="P91" s="150">
        <v>179.55</v>
      </c>
      <c r="Q91" s="179">
        <v>37.15</v>
      </c>
      <c r="R91" s="150">
        <v>90.99</v>
      </c>
      <c r="S91" s="179">
        <f t="shared" si="2"/>
        <v>91.047040971168443</v>
      </c>
      <c r="T91" s="179">
        <f t="shared" si="3"/>
        <v>5.7040971168447641E-2</v>
      </c>
      <c r="U91" s="179"/>
      <c r="V91" s="179" t="s">
        <v>460</v>
      </c>
      <c r="W91" s="179">
        <v>6.3</v>
      </c>
      <c r="X91" s="179">
        <v>14</v>
      </c>
    </row>
    <row r="92" spans="2:24" x14ac:dyDescent="0.3">
      <c r="B92" s="139">
        <v>89</v>
      </c>
      <c r="C92" s="7">
        <v>293</v>
      </c>
      <c r="D92" s="197" t="s">
        <v>631</v>
      </c>
      <c r="E92" s="151" t="s">
        <v>602</v>
      </c>
      <c r="F92" s="196" t="s">
        <v>632</v>
      </c>
      <c r="G92" s="128" t="s">
        <v>458</v>
      </c>
      <c r="H92" s="2">
        <v>1</v>
      </c>
      <c r="I92" s="1">
        <v>1</v>
      </c>
      <c r="J92" s="5">
        <v>4.9299999999999997E-2</v>
      </c>
      <c r="K92" s="132">
        <v>3.6499999999999998E-2</v>
      </c>
      <c r="L92" s="128" t="s">
        <v>459</v>
      </c>
      <c r="M92" s="1">
        <v>0</v>
      </c>
      <c r="N92" s="181">
        <v>0.04</v>
      </c>
      <c r="O92" s="186">
        <v>9.8800000000000008</v>
      </c>
      <c r="P92" s="150">
        <v>37.93</v>
      </c>
      <c r="Q92" s="179">
        <v>13.97</v>
      </c>
      <c r="R92" s="179">
        <v>0</v>
      </c>
      <c r="S92" s="179">
        <f t="shared" si="2"/>
        <v>0</v>
      </c>
      <c r="T92" s="179">
        <f t="shared" si="3"/>
        <v>0</v>
      </c>
      <c r="U92" s="179"/>
      <c r="V92" s="179" t="s">
        <v>460</v>
      </c>
      <c r="W92" s="179" t="s">
        <v>460</v>
      </c>
      <c r="X92" s="179" t="s">
        <v>460</v>
      </c>
    </row>
    <row r="93" spans="2:24" x14ac:dyDescent="0.3">
      <c r="B93" s="139">
        <v>90</v>
      </c>
      <c r="C93" s="7">
        <v>294</v>
      </c>
      <c r="D93" s="197" t="s">
        <v>633</v>
      </c>
      <c r="E93" s="151" t="s">
        <v>602</v>
      </c>
      <c r="F93" s="196" t="s">
        <v>634</v>
      </c>
      <c r="G93" s="128" t="s">
        <v>458</v>
      </c>
      <c r="H93" s="2">
        <v>4</v>
      </c>
      <c r="I93" s="1">
        <v>1</v>
      </c>
      <c r="J93" s="5">
        <v>7.0099999999999996E-2</v>
      </c>
      <c r="K93" s="132">
        <v>2.2700000000000001E-2</v>
      </c>
      <c r="L93" s="128" t="s">
        <v>459</v>
      </c>
      <c r="M93" s="1">
        <v>0</v>
      </c>
      <c r="N93" s="181">
        <v>0.05</v>
      </c>
      <c r="O93" s="186">
        <v>13.59</v>
      </c>
      <c r="P93" s="150">
        <v>52.19</v>
      </c>
      <c r="Q93" s="179">
        <v>19.22</v>
      </c>
      <c r="R93" s="179">
        <v>0</v>
      </c>
      <c r="S93" s="179">
        <f t="shared" si="2"/>
        <v>0</v>
      </c>
      <c r="T93" s="179">
        <f t="shared" si="3"/>
        <v>0</v>
      </c>
      <c r="U93" s="179"/>
      <c r="V93" s="179" t="s">
        <v>460</v>
      </c>
      <c r="W93" s="179" t="s">
        <v>460</v>
      </c>
      <c r="X93" s="179" t="s">
        <v>460</v>
      </c>
    </row>
    <row r="94" spans="2:24" x14ac:dyDescent="0.3">
      <c r="B94" s="139">
        <v>91</v>
      </c>
      <c r="C94" s="7">
        <v>295</v>
      </c>
      <c r="D94" s="197" t="s">
        <v>635</v>
      </c>
      <c r="E94" s="151" t="s">
        <v>602</v>
      </c>
      <c r="F94" s="196" t="s">
        <v>636</v>
      </c>
      <c r="G94" s="128" t="s">
        <v>458</v>
      </c>
      <c r="H94" s="2">
        <v>5</v>
      </c>
      <c r="I94" s="1">
        <v>2</v>
      </c>
      <c r="J94" s="5">
        <v>8.7599999999999997E-2</v>
      </c>
      <c r="K94" s="132">
        <v>5.9700000000000003E-2</v>
      </c>
      <c r="L94" s="128" t="s">
        <v>459</v>
      </c>
      <c r="M94" s="1">
        <v>1</v>
      </c>
      <c r="N94" s="181">
        <v>1.1000000000000001</v>
      </c>
      <c r="O94" s="186">
        <v>17.34</v>
      </c>
      <c r="P94" s="150">
        <v>50.59</v>
      </c>
      <c r="Q94" s="179">
        <v>16.760000000000002</v>
      </c>
      <c r="R94" s="150">
        <v>16.760000000000002</v>
      </c>
      <c r="S94" s="179">
        <f t="shared" si="2"/>
        <v>16.75041876046901</v>
      </c>
      <c r="T94" s="179">
        <f t="shared" si="3"/>
        <v>9.5812395309913256E-3</v>
      </c>
      <c r="U94" s="179"/>
      <c r="V94" s="179" t="s">
        <v>460</v>
      </c>
      <c r="W94" s="179" t="s">
        <v>460</v>
      </c>
      <c r="X94" s="179" t="s">
        <v>460</v>
      </c>
    </row>
    <row r="95" spans="2:24" x14ac:dyDescent="0.3">
      <c r="B95" s="139">
        <v>92</v>
      </c>
      <c r="C95" s="7">
        <v>296</v>
      </c>
      <c r="D95" s="197" t="s">
        <v>637</v>
      </c>
      <c r="E95" s="151" t="s">
        <v>602</v>
      </c>
      <c r="F95" s="196" t="s">
        <v>638</v>
      </c>
      <c r="G95" s="128" t="s">
        <v>458</v>
      </c>
      <c r="H95" s="2">
        <v>6</v>
      </c>
      <c r="I95" s="1">
        <v>2</v>
      </c>
      <c r="J95" s="5">
        <v>0.20039999999999999</v>
      </c>
      <c r="K95" s="132">
        <v>0.1522</v>
      </c>
      <c r="L95" s="128" t="s">
        <v>459</v>
      </c>
      <c r="M95" s="1">
        <v>10</v>
      </c>
      <c r="N95" s="181">
        <v>0.67</v>
      </c>
      <c r="O95" s="186">
        <v>107.71</v>
      </c>
      <c r="P95" s="150">
        <v>376.37</v>
      </c>
      <c r="Q95" s="179">
        <v>138.91</v>
      </c>
      <c r="R95" s="150">
        <v>65.709999999999994</v>
      </c>
      <c r="S95" s="179">
        <f t="shared" si="2"/>
        <v>65.703022339027598</v>
      </c>
      <c r="T95" s="179">
        <f t="shared" si="3"/>
        <v>6.9776609723959382E-3</v>
      </c>
      <c r="U95" s="179"/>
      <c r="V95" s="179" t="s">
        <v>460</v>
      </c>
      <c r="W95" s="179">
        <v>15</v>
      </c>
      <c r="X95" s="179">
        <v>73</v>
      </c>
    </row>
    <row r="96" spans="2:24" x14ac:dyDescent="0.3">
      <c r="B96" s="139">
        <v>93</v>
      </c>
      <c r="C96" s="7">
        <v>297</v>
      </c>
      <c r="D96" s="197" t="s">
        <v>639</v>
      </c>
      <c r="E96" s="151" t="s">
        <v>602</v>
      </c>
      <c r="F96" s="196" t="s">
        <v>640</v>
      </c>
      <c r="G96" s="128" t="s">
        <v>458</v>
      </c>
      <c r="H96" s="2">
        <v>9</v>
      </c>
      <c r="I96" s="1">
        <v>1</v>
      </c>
      <c r="J96" s="5">
        <v>0.15770000000000001</v>
      </c>
      <c r="K96" s="132">
        <v>0.1203</v>
      </c>
      <c r="L96" s="128" t="s">
        <v>459</v>
      </c>
      <c r="M96" s="1">
        <v>9</v>
      </c>
      <c r="N96" s="181">
        <v>39.03</v>
      </c>
      <c r="O96" s="186">
        <v>74.81</v>
      </c>
      <c r="P96" s="150">
        <v>130.55000000000001</v>
      </c>
      <c r="Q96" s="179">
        <v>24.94</v>
      </c>
      <c r="R96" s="150">
        <v>74.81</v>
      </c>
      <c r="S96" s="179">
        <f t="shared" si="2"/>
        <v>74.812967581047374</v>
      </c>
      <c r="T96" s="179">
        <f t="shared" si="3"/>
        <v>2.9675810473719366E-3</v>
      </c>
      <c r="U96" s="179"/>
      <c r="V96" s="179" t="s">
        <v>460</v>
      </c>
      <c r="W96" s="179">
        <v>6.3</v>
      </c>
      <c r="X96" s="179">
        <v>20</v>
      </c>
    </row>
    <row r="97" spans="2:24" x14ac:dyDescent="0.3">
      <c r="B97" s="139">
        <v>94</v>
      </c>
      <c r="C97" s="7">
        <v>298</v>
      </c>
      <c r="D97" s="197" t="s">
        <v>641</v>
      </c>
      <c r="E97" s="151" t="s">
        <v>602</v>
      </c>
      <c r="F97" s="196" t="s">
        <v>642</v>
      </c>
      <c r="G97" s="128" t="s">
        <v>458</v>
      </c>
      <c r="H97" s="2">
        <v>16</v>
      </c>
      <c r="I97" s="1">
        <v>4</v>
      </c>
      <c r="J97" s="5">
        <v>0.35260000000000002</v>
      </c>
      <c r="K97" s="132">
        <v>0.25080000000000002</v>
      </c>
      <c r="L97" s="128" t="s">
        <v>459</v>
      </c>
      <c r="M97" s="1">
        <v>8</v>
      </c>
      <c r="N97" s="181">
        <v>16.170000000000002</v>
      </c>
      <c r="O97" s="186">
        <v>32.22</v>
      </c>
      <c r="P97" s="150">
        <v>52.73</v>
      </c>
      <c r="Q97" s="179">
        <v>11.28</v>
      </c>
      <c r="R97" s="150">
        <v>31.89</v>
      </c>
      <c r="S97" s="179">
        <f t="shared" si="2"/>
        <v>31.897926634768737</v>
      </c>
      <c r="T97" s="179">
        <f t="shared" si="3"/>
        <v>7.9266347687365624E-3</v>
      </c>
      <c r="U97" s="179"/>
      <c r="V97" s="179" t="s">
        <v>460</v>
      </c>
      <c r="W97" s="179">
        <v>15</v>
      </c>
      <c r="X97" s="179">
        <v>65</v>
      </c>
    </row>
    <row r="98" spans="2:24" x14ac:dyDescent="0.3">
      <c r="B98" s="139">
        <v>95</v>
      </c>
      <c r="C98" s="7">
        <v>299</v>
      </c>
      <c r="D98" s="197" t="s">
        <v>643</v>
      </c>
      <c r="E98" s="151" t="s">
        <v>602</v>
      </c>
      <c r="F98" s="196" t="s">
        <v>644</v>
      </c>
      <c r="G98" s="128" t="s">
        <v>458</v>
      </c>
      <c r="H98" s="2">
        <v>10</v>
      </c>
      <c r="I98" s="1">
        <v>2</v>
      </c>
      <c r="J98" s="5">
        <v>0.17519999999999999</v>
      </c>
      <c r="K98" s="132">
        <v>0.17480000000000001</v>
      </c>
      <c r="L98" s="128" t="s">
        <v>459</v>
      </c>
      <c r="M98" s="1">
        <v>6</v>
      </c>
      <c r="N98" s="181">
        <v>0.21</v>
      </c>
      <c r="O98" s="186">
        <v>34.340000000000003</v>
      </c>
      <c r="P98" s="150">
        <v>120.11</v>
      </c>
      <c r="Q98" s="179">
        <v>44.33</v>
      </c>
      <c r="R98" s="150">
        <v>34.33</v>
      </c>
      <c r="S98" s="179">
        <f t="shared" si="2"/>
        <v>34.324942791762012</v>
      </c>
      <c r="T98" s="179">
        <f t="shared" si="3"/>
        <v>5.057208237985833E-3</v>
      </c>
      <c r="U98" s="179"/>
      <c r="V98" s="179" t="s">
        <v>460</v>
      </c>
      <c r="W98" s="179" t="s">
        <v>460</v>
      </c>
      <c r="X98" s="179" t="s">
        <v>460</v>
      </c>
    </row>
    <row r="99" spans="2:24" x14ac:dyDescent="0.3">
      <c r="B99" s="139">
        <v>96</v>
      </c>
      <c r="C99" s="7">
        <v>300</v>
      </c>
      <c r="D99" s="197" t="s">
        <v>645</v>
      </c>
      <c r="E99" s="151" t="s">
        <v>602</v>
      </c>
      <c r="F99" s="196" t="s">
        <v>646</v>
      </c>
      <c r="G99" s="128" t="s">
        <v>458</v>
      </c>
      <c r="H99" s="2">
        <v>7</v>
      </c>
      <c r="I99" s="1">
        <v>2</v>
      </c>
      <c r="J99" s="5">
        <v>0.28139999999999998</v>
      </c>
      <c r="K99" s="132">
        <v>0.21249999999999999</v>
      </c>
      <c r="L99" s="128" t="s">
        <v>459</v>
      </c>
      <c r="M99" s="1">
        <v>10</v>
      </c>
      <c r="N99" s="181">
        <v>0.68</v>
      </c>
      <c r="O99" s="186">
        <v>150.38</v>
      </c>
      <c r="P99" s="150">
        <v>557.48</v>
      </c>
      <c r="Q99" s="179">
        <v>205.86</v>
      </c>
      <c r="R99" s="150">
        <v>47.05</v>
      </c>
      <c r="S99" s="179">
        <f t="shared" si="2"/>
        <v>47.058823529411768</v>
      </c>
      <c r="T99" s="179">
        <f t="shared" si="3"/>
        <v>8.8235294117708918E-3</v>
      </c>
      <c r="U99" s="179"/>
      <c r="V99" s="179" t="s">
        <v>460</v>
      </c>
      <c r="W99" s="179">
        <v>5.8</v>
      </c>
      <c r="X99" s="179">
        <v>17</v>
      </c>
    </row>
    <row r="100" spans="2:24" x14ac:dyDescent="0.3">
      <c r="B100" s="139">
        <v>97</v>
      </c>
      <c r="C100" s="7">
        <v>303</v>
      </c>
      <c r="D100" s="197" t="s">
        <v>263</v>
      </c>
      <c r="E100" s="151" t="s">
        <v>647</v>
      </c>
      <c r="F100" s="196" t="s">
        <v>284</v>
      </c>
      <c r="G100" s="128" t="s">
        <v>458</v>
      </c>
      <c r="H100" s="2">
        <v>21</v>
      </c>
      <c r="I100" s="1">
        <v>6</v>
      </c>
      <c r="J100" s="5">
        <v>0.85880000000000001</v>
      </c>
      <c r="K100" s="132">
        <v>0.50919999999999999</v>
      </c>
      <c r="L100" s="128" t="s">
        <v>459</v>
      </c>
      <c r="M100" s="1">
        <v>102</v>
      </c>
      <c r="N100" s="181" t="s">
        <v>648</v>
      </c>
      <c r="O100" s="186">
        <v>72.89</v>
      </c>
      <c r="P100" s="150">
        <v>371.45</v>
      </c>
      <c r="Q100" s="179">
        <v>160.43</v>
      </c>
      <c r="R100" s="150">
        <v>200.33</v>
      </c>
      <c r="S100" s="179">
        <f t="shared" si="2"/>
        <v>200.31421838177533</v>
      </c>
      <c r="T100" s="179">
        <f t="shared" si="3"/>
        <v>1.578161822467905E-2</v>
      </c>
      <c r="U100" s="179"/>
      <c r="V100" s="179" t="s">
        <v>460</v>
      </c>
      <c r="W100" s="179">
        <v>4</v>
      </c>
      <c r="X100" s="179">
        <v>17</v>
      </c>
    </row>
    <row r="101" spans="2:24" x14ac:dyDescent="0.3">
      <c r="B101" s="139">
        <v>98</v>
      </c>
      <c r="C101" s="7">
        <v>305</v>
      </c>
      <c r="D101" s="197" t="s">
        <v>266</v>
      </c>
      <c r="E101" s="151" t="s">
        <v>647</v>
      </c>
      <c r="F101" s="196" t="s">
        <v>649</v>
      </c>
      <c r="G101" s="128" t="s">
        <v>458</v>
      </c>
      <c r="H101" s="2">
        <v>5</v>
      </c>
      <c r="I101" s="1">
        <v>2</v>
      </c>
      <c r="J101" s="5">
        <v>7.8799999999999995E-2</v>
      </c>
      <c r="K101" s="132">
        <v>7.6200000000000004E-2</v>
      </c>
      <c r="L101" s="128" t="s">
        <v>459</v>
      </c>
      <c r="M101" s="1">
        <v>2</v>
      </c>
      <c r="N101" s="181">
        <v>2.29</v>
      </c>
      <c r="O101" s="186">
        <v>23.89</v>
      </c>
      <c r="P101" s="150">
        <v>65.09</v>
      </c>
      <c r="Q101" s="179">
        <v>20.96</v>
      </c>
      <c r="R101" s="150">
        <v>26.24</v>
      </c>
      <c r="S101" s="179">
        <f t="shared" si="2"/>
        <v>26.246719160104984</v>
      </c>
      <c r="T101" s="179">
        <f t="shared" si="3"/>
        <v>6.7191601049856331E-3</v>
      </c>
      <c r="U101" s="179"/>
      <c r="V101" s="179" t="s">
        <v>460</v>
      </c>
      <c r="W101" s="179" t="s">
        <v>460</v>
      </c>
      <c r="X101" s="179" t="s">
        <v>460</v>
      </c>
    </row>
    <row r="102" spans="2:24" x14ac:dyDescent="0.3">
      <c r="B102" s="139">
        <v>99</v>
      </c>
      <c r="C102" s="7">
        <v>307</v>
      </c>
      <c r="D102" s="197" t="s">
        <v>650</v>
      </c>
      <c r="E102" s="151" t="s">
        <v>647</v>
      </c>
      <c r="F102" s="196" t="s">
        <v>651</v>
      </c>
      <c r="G102" s="128" t="s">
        <v>458</v>
      </c>
      <c r="H102" s="2">
        <v>1</v>
      </c>
      <c r="I102" s="1">
        <v>1</v>
      </c>
      <c r="J102" s="5">
        <v>8.8000000000000005E-3</v>
      </c>
      <c r="K102" s="132">
        <v>8.8000000000000005E-3</v>
      </c>
      <c r="L102" s="128" t="s">
        <v>459</v>
      </c>
      <c r="M102" s="1">
        <v>0</v>
      </c>
      <c r="N102" s="181">
        <v>7.0000000000000007E-2</v>
      </c>
      <c r="O102" s="186">
        <v>16.84</v>
      </c>
      <c r="P102" s="150">
        <v>64.66</v>
      </c>
      <c r="Q102" s="179">
        <v>23.81</v>
      </c>
      <c r="R102" s="179">
        <v>0</v>
      </c>
      <c r="S102" s="179">
        <f t="shared" si="2"/>
        <v>0</v>
      </c>
      <c r="T102" s="179">
        <f t="shared" si="3"/>
        <v>0</v>
      </c>
      <c r="U102" s="179"/>
      <c r="V102" s="179" t="s">
        <v>460</v>
      </c>
      <c r="W102" s="179" t="s">
        <v>460</v>
      </c>
      <c r="X102" s="179" t="s">
        <v>460</v>
      </c>
    </row>
    <row r="103" spans="2:24" x14ac:dyDescent="0.3">
      <c r="B103" s="139">
        <v>100</v>
      </c>
      <c r="C103" s="7">
        <v>308</v>
      </c>
      <c r="D103" s="197" t="s">
        <v>652</v>
      </c>
      <c r="E103" s="151" t="s">
        <v>647</v>
      </c>
      <c r="F103" s="196" t="s">
        <v>653</v>
      </c>
      <c r="G103" s="128" t="s">
        <v>458</v>
      </c>
      <c r="H103" s="2">
        <v>2</v>
      </c>
      <c r="I103" s="1">
        <v>1</v>
      </c>
      <c r="J103" s="5">
        <v>3.5000000000000003E-2</v>
      </c>
      <c r="K103" s="132">
        <v>3.3599999999999998E-2</v>
      </c>
      <c r="L103" s="128" t="s">
        <v>459</v>
      </c>
      <c r="M103" s="1">
        <v>0</v>
      </c>
      <c r="N103" s="181">
        <v>0.04</v>
      </c>
      <c r="O103" s="186">
        <v>9.17</v>
      </c>
      <c r="P103" s="150">
        <v>35.200000000000003</v>
      </c>
      <c r="Q103" s="179">
        <v>12.9</v>
      </c>
      <c r="R103" s="179">
        <v>0</v>
      </c>
      <c r="S103" s="179">
        <f t="shared" si="2"/>
        <v>0</v>
      </c>
      <c r="T103" s="179">
        <f t="shared" si="3"/>
        <v>0</v>
      </c>
      <c r="U103" s="179"/>
      <c r="V103" s="179" t="s">
        <v>460</v>
      </c>
      <c r="W103" s="179" t="s">
        <v>460</v>
      </c>
      <c r="X103" s="179" t="s">
        <v>460</v>
      </c>
    </row>
    <row r="104" spans="2:24" x14ac:dyDescent="0.3">
      <c r="B104" s="139">
        <v>101</v>
      </c>
      <c r="C104" s="7">
        <v>309</v>
      </c>
      <c r="D104" s="197" t="s">
        <v>654</v>
      </c>
      <c r="E104" s="151" t="s">
        <v>647</v>
      </c>
      <c r="F104" s="196" t="s">
        <v>655</v>
      </c>
      <c r="G104" s="128" t="s">
        <v>458</v>
      </c>
      <c r="H104" s="1">
        <v>2</v>
      </c>
      <c r="I104" s="1">
        <v>1</v>
      </c>
      <c r="J104" s="5">
        <v>3.5000000000000003E-2</v>
      </c>
      <c r="K104" s="130">
        <v>3.3799999999999997E-2</v>
      </c>
      <c r="L104" s="128" t="s">
        <v>459</v>
      </c>
      <c r="M104" s="1">
        <v>2</v>
      </c>
      <c r="N104" s="181">
        <v>10.49</v>
      </c>
      <c r="O104" s="186">
        <v>59.09</v>
      </c>
      <c r="P104" s="150">
        <v>185.99</v>
      </c>
      <c r="Q104" s="179">
        <v>41.78</v>
      </c>
      <c r="R104" s="150">
        <v>59.09</v>
      </c>
      <c r="S104" s="179">
        <f t="shared" si="2"/>
        <v>59.171597633136102</v>
      </c>
      <c r="T104" s="179">
        <f t="shared" si="3"/>
        <v>8.159763313609858E-2</v>
      </c>
      <c r="U104" s="179"/>
      <c r="V104" s="179" t="s">
        <v>460</v>
      </c>
      <c r="W104" s="179" t="s">
        <v>460</v>
      </c>
      <c r="X104" s="179" t="s">
        <v>460</v>
      </c>
    </row>
    <row r="105" spans="2:24" x14ac:dyDescent="0.3">
      <c r="B105" s="139">
        <v>102</v>
      </c>
      <c r="C105" s="7">
        <v>310</v>
      </c>
      <c r="D105" s="197" t="s">
        <v>656</v>
      </c>
      <c r="E105" s="151" t="s">
        <v>647</v>
      </c>
      <c r="F105" s="196" t="s">
        <v>657</v>
      </c>
      <c r="G105" s="128" t="s">
        <v>458</v>
      </c>
      <c r="H105" s="2">
        <v>10</v>
      </c>
      <c r="I105" s="2">
        <v>2</v>
      </c>
      <c r="J105" s="2">
        <v>0.61339999999999995</v>
      </c>
      <c r="K105" s="129">
        <v>0.29210000000000003</v>
      </c>
      <c r="L105" s="128" t="s">
        <v>459</v>
      </c>
      <c r="M105" s="1">
        <v>99</v>
      </c>
      <c r="N105" s="177">
        <v>56.96</v>
      </c>
      <c r="O105" s="178">
        <v>333.11</v>
      </c>
      <c r="P105" s="177">
        <v>798.54</v>
      </c>
      <c r="Q105" s="177">
        <v>239.71</v>
      </c>
      <c r="R105" s="150">
        <v>338.88</v>
      </c>
      <c r="S105" s="179">
        <f t="shared" si="2"/>
        <v>338.92502567613826</v>
      </c>
      <c r="T105" s="179">
        <f t="shared" si="3"/>
        <v>4.5025676138266135E-2</v>
      </c>
      <c r="U105" s="179"/>
      <c r="V105" s="179" t="s">
        <v>460</v>
      </c>
      <c r="W105" s="179">
        <v>4</v>
      </c>
      <c r="X105" s="179">
        <v>17</v>
      </c>
    </row>
    <row r="106" spans="2:24" x14ac:dyDescent="0.3">
      <c r="B106" s="139">
        <v>103</v>
      </c>
      <c r="C106" s="7">
        <v>312</v>
      </c>
      <c r="D106" s="197" t="s">
        <v>658</v>
      </c>
      <c r="E106" s="151" t="s">
        <v>647</v>
      </c>
      <c r="F106" s="196" t="s">
        <v>659</v>
      </c>
      <c r="G106" s="128" t="s">
        <v>458</v>
      </c>
      <c r="H106" s="2">
        <v>2</v>
      </c>
      <c r="I106" s="1">
        <v>1</v>
      </c>
      <c r="J106" s="5">
        <v>3.5099999999999999E-2</v>
      </c>
      <c r="K106" s="132">
        <v>1E-4</v>
      </c>
      <c r="L106" s="128" t="s">
        <v>459</v>
      </c>
      <c r="M106" s="1">
        <v>0</v>
      </c>
      <c r="N106" s="181">
        <v>1.21</v>
      </c>
      <c r="O106" s="186">
        <v>311.52999999999997</v>
      </c>
      <c r="P106" s="150">
        <v>1196.27</v>
      </c>
      <c r="Q106" s="179">
        <v>440.57</v>
      </c>
      <c r="R106" s="179">
        <v>0</v>
      </c>
      <c r="S106" s="179">
        <f t="shared" si="2"/>
        <v>0</v>
      </c>
      <c r="T106" s="179">
        <f t="shared" si="3"/>
        <v>0</v>
      </c>
      <c r="U106" s="179"/>
      <c r="V106" s="179" t="s">
        <v>460</v>
      </c>
      <c r="W106" s="179" t="s">
        <v>460</v>
      </c>
      <c r="X106" s="179" t="s">
        <v>460</v>
      </c>
    </row>
    <row r="107" spans="2:24" x14ac:dyDescent="0.3">
      <c r="B107" s="139">
        <v>104</v>
      </c>
      <c r="C107" s="7">
        <v>313</v>
      </c>
      <c r="D107" s="197" t="s">
        <v>660</v>
      </c>
      <c r="E107" s="151" t="s">
        <v>647</v>
      </c>
      <c r="F107" s="196" t="s">
        <v>661</v>
      </c>
      <c r="G107" s="128" t="s">
        <v>458</v>
      </c>
      <c r="H107" s="2">
        <v>8</v>
      </c>
      <c r="I107" s="1">
        <v>1</v>
      </c>
      <c r="J107" s="5">
        <v>0.57830000000000004</v>
      </c>
      <c r="K107" s="132">
        <v>0.29199999999999998</v>
      </c>
      <c r="L107" s="128" t="s">
        <v>459</v>
      </c>
      <c r="M107" s="1">
        <v>99</v>
      </c>
      <c r="N107" s="181">
        <v>284.97000000000003</v>
      </c>
      <c r="O107" s="186">
        <v>339</v>
      </c>
      <c r="P107" s="150">
        <v>400.63</v>
      </c>
      <c r="Q107" s="179">
        <v>34.07</v>
      </c>
      <c r="R107" s="150">
        <v>339</v>
      </c>
      <c r="S107" s="179">
        <f t="shared" si="2"/>
        <v>339.04109589041099</v>
      </c>
      <c r="T107" s="179">
        <f t="shared" si="3"/>
        <v>4.1095890410986158E-2</v>
      </c>
      <c r="U107" s="179"/>
      <c r="V107" s="179" t="s">
        <v>460</v>
      </c>
      <c r="W107" s="179">
        <v>4</v>
      </c>
      <c r="X107" s="179">
        <v>17</v>
      </c>
    </row>
    <row r="108" spans="2:24" x14ac:dyDescent="0.3">
      <c r="B108" s="139">
        <v>105</v>
      </c>
      <c r="C108" s="7">
        <v>314</v>
      </c>
      <c r="D108" s="197" t="s">
        <v>662</v>
      </c>
      <c r="E108" s="151" t="s">
        <v>647</v>
      </c>
      <c r="F108" s="196" t="s">
        <v>663</v>
      </c>
      <c r="G108" s="128" t="s">
        <v>458</v>
      </c>
      <c r="H108" s="2">
        <v>4</v>
      </c>
      <c r="I108" s="1">
        <v>2</v>
      </c>
      <c r="J108" s="5">
        <v>6.8000000000000005E-2</v>
      </c>
      <c r="K108" s="132">
        <v>6.7799999999999999E-2</v>
      </c>
      <c r="L108" s="128" t="s">
        <v>459</v>
      </c>
      <c r="M108" s="1">
        <v>0</v>
      </c>
      <c r="N108" s="181">
        <v>0.03</v>
      </c>
      <c r="O108" s="186">
        <v>6.7</v>
      </c>
      <c r="P108" s="150">
        <v>25.72</v>
      </c>
      <c r="Q108" s="179">
        <v>9.4700000000000006</v>
      </c>
      <c r="R108" s="179">
        <v>0</v>
      </c>
      <c r="S108" s="179">
        <f t="shared" si="2"/>
        <v>0</v>
      </c>
      <c r="T108" s="179">
        <f t="shared" si="3"/>
        <v>0</v>
      </c>
      <c r="U108" s="179"/>
      <c r="V108" s="179" t="s">
        <v>460</v>
      </c>
      <c r="W108" s="179" t="s">
        <v>460</v>
      </c>
      <c r="X108" s="179" t="s">
        <v>460</v>
      </c>
    </row>
    <row r="109" spans="2:24" x14ac:dyDescent="0.3">
      <c r="B109" s="139">
        <v>106</v>
      </c>
      <c r="C109" s="7">
        <v>315</v>
      </c>
      <c r="D109" s="197" t="s">
        <v>664</v>
      </c>
      <c r="E109" s="151" t="s">
        <v>647</v>
      </c>
      <c r="F109" s="196" t="s">
        <v>665</v>
      </c>
      <c r="G109" s="128" t="s">
        <v>458</v>
      </c>
      <c r="H109" s="2">
        <v>1</v>
      </c>
      <c r="I109" s="1">
        <v>1</v>
      </c>
      <c r="J109" s="5">
        <v>1.7500000000000002E-2</v>
      </c>
      <c r="K109" s="132">
        <v>1.7500000000000002E-2</v>
      </c>
      <c r="L109" s="128" t="s">
        <v>459</v>
      </c>
      <c r="M109" s="1">
        <v>0</v>
      </c>
      <c r="N109" s="181">
        <v>0.02</v>
      </c>
      <c r="O109" s="186">
        <v>5.42</v>
      </c>
      <c r="P109" s="150">
        <v>20.83</v>
      </c>
      <c r="Q109" s="179">
        <v>7.67</v>
      </c>
      <c r="R109" s="179">
        <v>0</v>
      </c>
      <c r="S109" s="179">
        <f t="shared" si="2"/>
        <v>0</v>
      </c>
      <c r="T109" s="179">
        <f t="shared" si="3"/>
        <v>0</v>
      </c>
      <c r="U109" s="179"/>
      <c r="V109" s="179" t="s">
        <v>460</v>
      </c>
      <c r="W109" s="179" t="s">
        <v>460</v>
      </c>
      <c r="X109" s="179" t="s">
        <v>460</v>
      </c>
    </row>
    <row r="110" spans="2:24" x14ac:dyDescent="0.3">
      <c r="B110" s="139">
        <v>107</v>
      </c>
      <c r="C110" s="7">
        <v>316</v>
      </c>
      <c r="D110" s="197" t="s">
        <v>262</v>
      </c>
      <c r="E110" s="151" t="s">
        <v>647</v>
      </c>
      <c r="F110" s="196" t="s">
        <v>666</v>
      </c>
      <c r="G110" s="128" t="s">
        <v>458</v>
      </c>
      <c r="H110" s="2">
        <v>1</v>
      </c>
      <c r="I110" s="1">
        <v>1</v>
      </c>
      <c r="J110" s="5">
        <v>1.7500000000000002E-2</v>
      </c>
      <c r="K110" s="132">
        <v>1.7500000000000002E-2</v>
      </c>
      <c r="L110" s="128" t="s">
        <v>459</v>
      </c>
      <c r="M110" s="1">
        <v>0</v>
      </c>
      <c r="N110" s="181">
        <v>0.02</v>
      </c>
      <c r="O110" s="186">
        <v>5.42</v>
      </c>
      <c r="P110" s="150">
        <v>20.83</v>
      </c>
      <c r="Q110" s="179">
        <v>7.67</v>
      </c>
      <c r="R110" s="179">
        <v>0</v>
      </c>
      <c r="S110" s="179">
        <f t="shared" si="2"/>
        <v>0</v>
      </c>
      <c r="T110" s="179">
        <f t="shared" si="3"/>
        <v>0</v>
      </c>
      <c r="U110" s="179"/>
      <c r="V110" s="179" t="s">
        <v>460</v>
      </c>
      <c r="W110" s="179" t="s">
        <v>460</v>
      </c>
      <c r="X110" s="179" t="s">
        <v>460</v>
      </c>
    </row>
    <row r="111" spans="2:24" x14ac:dyDescent="0.3">
      <c r="B111" s="139">
        <v>108</v>
      </c>
      <c r="C111" s="7">
        <v>317</v>
      </c>
      <c r="D111" s="197" t="s">
        <v>261</v>
      </c>
      <c r="E111" s="151" t="s">
        <v>647</v>
      </c>
      <c r="F111" s="196" t="s">
        <v>667</v>
      </c>
      <c r="G111" s="128" t="s">
        <v>458</v>
      </c>
      <c r="H111" s="2">
        <v>2</v>
      </c>
      <c r="I111" s="1">
        <v>1</v>
      </c>
      <c r="J111" s="5">
        <v>3.2899999999999999E-2</v>
      </c>
      <c r="K111" s="132">
        <v>3.2800000000000003E-2</v>
      </c>
      <c r="L111" s="128" t="s">
        <v>459</v>
      </c>
      <c r="M111" s="1">
        <v>0</v>
      </c>
      <c r="N111" s="181">
        <v>0.02</v>
      </c>
      <c r="O111" s="186">
        <v>4.66</v>
      </c>
      <c r="P111" s="150">
        <v>17.88</v>
      </c>
      <c r="Q111" s="179">
        <v>6.58</v>
      </c>
      <c r="R111" s="179">
        <v>0</v>
      </c>
      <c r="S111" s="179">
        <f t="shared" si="2"/>
        <v>0</v>
      </c>
      <c r="T111" s="179">
        <f t="shared" si="3"/>
        <v>0</v>
      </c>
      <c r="U111" s="179"/>
      <c r="V111" s="179" t="s">
        <v>460</v>
      </c>
      <c r="W111" s="179" t="s">
        <v>460</v>
      </c>
      <c r="X111" s="179" t="s">
        <v>460</v>
      </c>
    </row>
    <row r="112" spans="2:24" x14ac:dyDescent="0.3">
      <c r="B112" s="139">
        <v>109</v>
      </c>
      <c r="C112" s="7">
        <v>318</v>
      </c>
      <c r="D112" s="197" t="s">
        <v>668</v>
      </c>
      <c r="E112" s="151" t="s">
        <v>647</v>
      </c>
      <c r="F112" s="196" t="s">
        <v>669</v>
      </c>
      <c r="G112" s="128" t="s">
        <v>458</v>
      </c>
      <c r="H112" s="2">
        <v>2</v>
      </c>
      <c r="I112" s="1">
        <v>1</v>
      </c>
      <c r="J112" s="5">
        <v>9.8500000000000004E-2</v>
      </c>
      <c r="K112" s="132">
        <v>7.2999999999999995E-2</v>
      </c>
      <c r="L112" s="128" t="s">
        <v>459</v>
      </c>
      <c r="M112" s="1">
        <v>1</v>
      </c>
      <c r="N112" s="181">
        <v>0.68</v>
      </c>
      <c r="O112" s="186">
        <v>13.7</v>
      </c>
      <c r="P112" s="150">
        <v>64.989999999999995</v>
      </c>
      <c r="Q112" s="179">
        <v>13.7</v>
      </c>
      <c r="R112" s="150">
        <v>13.7</v>
      </c>
      <c r="S112" s="179">
        <f t="shared" si="2"/>
        <v>13.698630136986303</v>
      </c>
      <c r="T112" s="179">
        <f t="shared" si="3"/>
        <v>1.3698630136964596E-3</v>
      </c>
      <c r="U112" s="179"/>
      <c r="V112" s="179" t="s">
        <v>460</v>
      </c>
      <c r="W112" s="179">
        <v>1.5</v>
      </c>
      <c r="X112" s="179">
        <v>1.5</v>
      </c>
    </row>
    <row r="113" spans="2:24" x14ac:dyDescent="0.3">
      <c r="B113" s="139">
        <v>110</v>
      </c>
      <c r="C113" s="7">
        <v>320</v>
      </c>
      <c r="D113" s="197" t="s">
        <v>670</v>
      </c>
      <c r="E113" s="151" t="s">
        <v>647</v>
      </c>
      <c r="F113" s="196" t="s">
        <v>671</v>
      </c>
      <c r="G113" s="128" t="s">
        <v>458</v>
      </c>
      <c r="H113" s="2">
        <v>1</v>
      </c>
      <c r="I113" s="1">
        <v>1</v>
      </c>
      <c r="J113" s="5">
        <v>4.9299999999999997E-2</v>
      </c>
      <c r="K113" s="132">
        <v>3.6499999999999998E-2</v>
      </c>
      <c r="L113" s="128" t="s">
        <v>459</v>
      </c>
      <c r="M113" s="1">
        <v>1</v>
      </c>
      <c r="N113" s="181">
        <v>1.37</v>
      </c>
      <c r="O113" s="186">
        <v>27.39</v>
      </c>
      <c r="P113" s="150">
        <v>129.99</v>
      </c>
      <c r="Q113" s="179">
        <v>27.39</v>
      </c>
      <c r="R113" s="150">
        <v>27.39</v>
      </c>
      <c r="S113" s="179">
        <f t="shared" si="2"/>
        <v>27.397260273972606</v>
      </c>
      <c r="T113" s="179">
        <f t="shared" si="3"/>
        <v>7.2602739726050913E-3</v>
      </c>
      <c r="U113" s="179"/>
      <c r="V113" s="179" t="s">
        <v>460</v>
      </c>
      <c r="W113" s="179">
        <v>1.5</v>
      </c>
      <c r="X113" s="179">
        <v>1.5</v>
      </c>
    </row>
    <row r="114" spans="2:24" x14ac:dyDescent="0.3">
      <c r="B114" s="139">
        <v>111</v>
      </c>
      <c r="C114" s="7">
        <v>321</v>
      </c>
      <c r="D114" s="197" t="s">
        <v>672</v>
      </c>
      <c r="E114" s="151" t="s">
        <v>647</v>
      </c>
      <c r="F114" s="196" t="s">
        <v>673</v>
      </c>
      <c r="G114" s="128" t="s">
        <v>458</v>
      </c>
      <c r="H114" s="2">
        <v>1</v>
      </c>
      <c r="I114" s="1">
        <v>1</v>
      </c>
      <c r="J114" s="5">
        <v>4.9299999999999997E-2</v>
      </c>
      <c r="K114" s="132">
        <v>3.6499999999999998E-2</v>
      </c>
      <c r="L114" s="128" t="s">
        <v>459</v>
      </c>
      <c r="M114" s="1">
        <v>0</v>
      </c>
      <c r="N114" s="181">
        <v>0.03</v>
      </c>
      <c r="O114" s="186">
        <v>6.85</v>
      </c>
      <c r="P114" s="150">
        <v>26.3</v>
      </c>
      <c r="Q114" s="179">
        <v>9.69</v>
      </c>
      <c r="R114" s="179">
        <v>0</v>
      </c>
      <c r="S114" s="179">
        <f t="shared" si="2"/>
        <v>0</v>
      </c>
      <c r="T114" s="179">
        <f t="shared" si="3"/>
        <v>0</v>
      </c>
      <c r="U114" s="179"/>
      <c r="V114" s="179" t="s">
        <v>460</v>
      </c>
      <c r="W114" s="179" t="s">
        <v>460</v>
      </c>
      <c r="X114" s="179" t="s">
        <v>460</v>
      </c>
    </row>
    <row r="115" spans="2:24" x14ac:dyDescent="0.3">
      <c r="B115" s="139">
        <v>112</v>
      </c>
      <c r="C115" s="7">
        <v>326</v>
      </c>
      <c r="D115" s="197" t="s">
        <v>254</v>
      </c>
      <c r="E115" s="151" t="s">
        <v>647</v>
      </c>
      <c r="F115" s="196" t="s">
        <v>286</v>
      </c>
      <c r="G115" s="128" t="s">
        <v>458</v>
      </c>
      <c r="H115" s="2">
        <v>198</v>
      </c>
      <c r="I115" s="1">
        <v>20</v>
      </c>
      <c r="J115" s="5">
        <v>7.9054000000000002</v>
      </c>
      <c r="K115" s="132">
        <v>4.2609000000000004</v>
      </c>
      <c r="L115" s="128" t="s">
        <v>459</v>
      </c>
      <c r="M115" s="1">
        <v>1491</v>
      </c>
      <c r="N115" s="181">
        <v>0.36</v>
      </c>
      <c r="O115" s="186">
        <v>255.67</v>
      </c>
      <c r="P115" s="150">
        <v>1042.8900000000001</v>
      </c>
      <c r="Q115" s="179">
        <v>394.32</v>
      </c>
      <c r="R115" s="150">
        <v>349.93</v>
      </c>
      <c r="S115" s="179">
        <f t="shared" si="2"/>
        <v>349.92607195662885</v>
      </c>
      <c r="T115" s="179">
        <f t="shared" si="3"/>
        <v>3.9280433711610385E-3</v>
      </c>
      <c r="U115" s="179"/>
      <c r="V115" s="179" t="s">
        <v>460</v>
      </c>
      <c r="W115" s="179">
        <v>6.8</v>
      </c>
      <c r="X115" s="179">
        <v>297</v>
      </c>
    </row>
    <row r="116" spans="2:24" x14ac:dyDescent="0.3">
      <c r="B116" s="139">
        <v>113</v>
      </c>
      <c r="C116" s="7">
        <v>332</v>
      </c>
      <c r="D116" s="197" t="s">
        <v>252</v>
      </c>
      <c r="E116" s="151" t="s">
        <v>647</v>
      </c>
      <c r="F116" s="196" t="s">
        <v>674</v>
      </c>
      <c r="G116" s="128" t="s">
        <v>458</v>
      </c>
      <c r="H116" s="2">
        <v>7</v>
      </c>
      <c r="I116" s="1">
        <v>4</v>
      </c>
      <c r="J116" s="5">
        <v>0.2147</v>
      </c>
      <c r="K116" s="132">
        <v>0.19846101397749963</v>
      </c>
      <c r="L116" s="128" t="s">
        <v>459</v>
      </c>
      <c r="M116" s="1">
        <v>163</v>
      </c>
      <c r="N116" s="181">
        <v>0.78</v>
      </c>
      <c r="O116" s="186">
        <v>742.11</v>
      </c>
      <c r="P116" s="150">
        <v>3079.5</v>
      </c>
      <c r="Q116" s="179">
        <v>1171.42</v>
      </c>
      <c r="R116" s="150">
        <v>821.32</v>
      </c>
      <c r="S116" s="179">
        <f t="shared" si="2"/>
        <v>821.32</v>
      </c>
      <c r="T116" s="179">
        <f t="shared" si="3"/>
        <v>0</v>
      </c>
      <c r="U116" s="193">
        <f>M116/R116</f>
        <v>0.19846101397749963</v>
      </c>
      <c r="V116" s="179" t="s">
        <v>460</v>
      </c>
      <c r="W116" s="179">
        <v>9.6</v>
      </c>
      <c r="X116" s="179">
        <v>125</v>
      </c>
    </row>
    <row r="117" spans="2:24" x14ac:dyDescent="0.3">
      <c r="B117" s="139">
        <v>114</v>
      </c>
      <c r="C117" s="7">
        <v>337</v>
      </c>
      <c r="D117" s="197" t="s">
        <v>265</v>
      </c>
      <c r="E117" s="151" t="s">
        <v>647</v>
      </c>
      <c r="F117" s="196" t="s">
        <v>675</v>
      </c>
      <c r="G117" s="128" t="s">
        <v>458</v>
      </c>
      <c r="H117" s="2">
        <v>2</v>
      </c>
      <c r="I117" s="1">
        <v>1</v>
      </c>
      <c r="J117" s="5">
        <v>5.2600000000000001E-2</v>
      </c>
      <c r="K117" s="132">
        <v>5.1200000000000002E-2</v>
      </c>
      <c r="L117" s="128" t="s">
        <v>459</v>
      </c>
      <c r="M117" s="1">
        <v>10</v>
      </c>
      <c r="N117" s="181">
        <v>105.92</v>
      </c>
      <c r="O117" s="186">
        <v>195.25</v>
      </c>
      <c r="P117" s="150">
        <v>331.15</v>
      </c>
      <c r="Q117" s="179">
        <v>61.74</v>
      </c>
      <c r="R117" s="150">
        <v>195.25</v>
      </c>
      <c r="S117" s="179">
        <f t="shared" si="2"/>
        <v>195.3125</v>
      </c>
      <c r="T117" s="179">
        <f t="shared" si="3"/>
        <v>6.25E-2</v>
      </c>
      <c r="U117" s="179"/>
      <c r="V117" s="179" t="s">
        <v>460</v>
      </c>
      <c r="W117" s="179">
        <v>31</v>
      </c>
      <c r="X117" s="179">
        <v>125</v>
      </c>
    </row>
    <row r="118" spans="2:24" x14ac:dyDescent="0.3">
      <c r="B118" s="139">
        <v>115</v>
      </c>
      <c r="C118" s="7">
        <v>338</v>
      </c>
      <c r="D118" s="197" t="s">
        <v>676</v>
      </c>
      <c r="E118" s="151" t="s">
        <v>647</v>
      </c>
      <c r="F118" s="196" t="s">
        <v>677</v>
      </c>
      <c r="G118" s="128" t="s">
        <v>458</v>
      </c>
      <c r="H118" s="2">
        <v>5</v>
      </c>
      <c r="I118" s="1">
        <v>4</v>
      </c>
      <c r="J118" s="5">
        <v>0.16220000000000001</v>
      </c>
      <c r="K118" s="132">
        <v>0.14724422331078157</v>
      </c>
      <c r="L118" s="128" t="s">
        <v>459</v>
      </c>
      <c r="M118" s="1">
        <v>153</v>
      </c>
      <c r="N118" s="181">
        <v>0.16</v>
      </c>
      <c r="O118" s="186">
        <v>718.96</v>
      </c>
      <c r="P118" s="150">
        <v>3185.61</v>
      </c>
      <c r="Q118" s="179">
        <v>1254.03</v>
      </c>
      <c r="R118" s="150">
        <v>1039.0899999999999</v>
      </c>
      <c r="S118" s="179">
        <f t="shared" si="2"/>
        <v>1039.0899999999999</v>
      </c>
      <c r="T118" s="179">
        <f t="shared" si="3"/>
        <v>0</v>
      </c>
      <c r="U118" s="185">
        <f>M118/R118</f>
        <v>0.14724422331078157</v>
      </c>
      <c r="V118" s="179" t="s">
        <v>460</v>
      </c>
      <c r="W118" s="179">
        <v>8.1</v>
      </c>
      <c r="X118" s="179">
        <v>125</v>
      </c>
    </row>
    <row r="119" spans="2:24" x14ac:dyDescent="0.3">
      <c r="B119" s="139">
        <v>116</v>
      </c>
      <c r="C119" s="7">
        <v>340</v>
      </c>
      <c r="D119" s="197" t="s">
        <v>253</v>
      </c>
      <c r="E119" s="151" t="s">
        <v>647</v>
      </c>
      <c r="F119" s="196" t="s">
        <v>678</v>
      </c>
      <c r="G119" s="128" t="s">
        <v>458</v>
      </c>
      <c r="H119" s="2">
        <v>7</v>
      </c>
      <c r="I119" s="1">
        <v>5</v>
      </c>
      <c r="J119" s="5">
        <v>0.17610000000000001</v>
      </c>
      <c r="K119" s="132">
        <v>0.1696</v>
      </c>
      <c r="L119" s="128" t="s">
        <v>459</v>
      </c>
      <c r="M119" s="1">
        <v>68</v>
      </c>
      <c r="N119" s="181">
        <v>32.950000000000003</v>
      </c>
      <c r="O119" s="186">
        <v>362.17</v>
      </c>
      <c r="P119" s="150">
        <v>997.5</v>
      </c>
      <c r="Q119" s="179">
        <v>322.94</v>
      </c>
      <c r="R119" s="150">
        <v>400.95</v>
      </c>
      <c r="S119" s="179">
        <f t="shared" si="2"/>
        <v>400.94339622641508</v>
      </c>
      <c r="T119" s="179">
        <f t="shared" si="3"/>
        <v>6.603773584913597E-3</v>
      </c>
      <c r="U119" s="179"/>
      <c r="V119" s="179" t="s">
        <v>460</v>
      </c>
      <c r="W119" s="179">
        <v>12</v>
      </c>
      <c r="X119" s="179">
        <v>89</v>
      </c>
    </row>
    <row r="120" spans="2:24" x14ac:dyDescent="0.3">
      <c r="B120" s="139">
        <v>117</v>
      </c>
      <c r="C120" s="7">
        <v>344</v>
      </c>
      <c r="D120" s="197" t="s">
        <v>679</v>
      </c>
      <c r="E120" s="151" t="s">
        <v>647</v>
      </c>
      <c r="F120" s="196" t="s">
        <v>680</v>
      </c>
      <c r="G120" s="128" t="s">
        <v>458</v>
      </c>
      <c r="H120" s="2">
        <v>1</v>
      </c>
      <c r="I120" s="1">
        <v>1</v>
      </c>
      <c r="J120" s="5">
        <v>3.0700000000000002E-2</v>
      </c>
      <c r="K120" s="132">
        <v>2.9100000000000001E-2</v>
      </c>
      <c r="L120" s="128" t="s">
        <v>459</v>
      </c>
      <c r="M120" s="1">
        <v>0</v>
      </c>
      <c r="N120" s="181">
        <v>0.06</v>
      </c>
      <c r="O120" s="186">
        <v>16.399999999999999</v>
      </c>
      <c r="P120" s="150">
        <v>62.99</v>
      </c>
      <c r="Q120" s="179">
        <v>23.2</v>
      </c>
      <c r="R120" s="179">
        <v>0</v>
      </c>
      <c r="S120" s="179">
        <f t="shared" si="2"/>
        <v>0</v>
      </c>
      <c r="T120" s="179">
        <f t="shared" si="3"/>
        <v>0</v>
      </c>
      <c r="U120" s="179"/>
      <c r="V120" s="179" t="s">
        <v>460</v>
      </c>
      <c r="W120" s="179" t="s">
        <v>460</v>
      </c>
      <c r="X120" s="179" t="s">
        <v>460</v>
      </c>
    </row>
    <row r="121" spans="2:24" x14ac:dyDescent="0.3">
      <c r="B121" s="139">
        <v>118</v>
      </c>
      <c r="C121" s="7">
        <v>346</v>
      </c>
      <c r="D121" s="197" t="s">
        <v>681</v>
      </c>
      <c r="E121" s="151" t="s">
        <v>647</v>
      </c>
      <c r="F121" s="196" t="s">
        <v>682</v>
      </c>
      <c r="G121" s="128" t="s">
        <v>458</v>
      </c>
      <c r="H121" s="2">
        <v>6</v>
      </c>
      <c r="I121" s="1">
        <v>4</v>
      </c>
      <c r="J121" s="5">
        <v>0.14549999999999999</v>
      </c>
      <c r="K121" s="132">
        <v>0.14050000000000001</v>
      </c>
      <c r="L121" s="128" t="s">
        <v>459</v>
      </c>
      <c r="M121" s="1">
        <v>68</v>
      </c>
      <c r="N121" s="181">
        <v>104.17</v>
      </c>
      <c r="O121" s="186">
        <v>452.61</v>
      </c>
      <c r="P121" s="150">
        <v>1001.89</v>
      </c>
      <c r="Q121" s="179">
        <v>286.17</v>
      </c>
      <c r="R121" s="150">
        <v>484</v>
      </c>
      <c r="S121" s="179">
        <f t="shared" si="2"/>
        <v>483.98576512455509</v>
      </c>
      <c r="T121" s="179">
        <f t="shared" si="3"/>
        <v>1.4234875444913087E-2</v>
      </c>
      <c r="U121" s="179"/>
      <c r="V121" s="179" t="s">
        <v>460</v>
      </c>
      <c r="W121" s="179">
        <v>12</v>
      </c>
      <c r="X121" s="179">
        <v>89</v>
      </c>
    </row>
    <row r="122" spans="2:24" x14ac:dyDescent="0.3">
      <c r="B122" s="139">
        <v>119</v>
      </c>
      <c r="C122" s="7">
        <v>347</v>
      </c>
      <c r="D122" s="197" t="s">
        <v>683</v>
      </c>
      <c r="E122" s="151" t="s">
        <v>647</v>
      </c>
      <c r="F122" s="196" t="s">
        <v>684</v>
      </c>
      <c r="G122" s="128" t="s">
        <v>458</v>
      </c>
      <c r="H122" s="2">
        <v>3</v>
      </c>
      <c r="I122" s="1">
        <v>1</v>
      </c>
      <c r="J122" s="5">
        <v>5.2600000000000001E-2</v>
      </c>
      <c r="K122" s="132">
        <v>5.2200000000000003E-2</v>
      </c>
      <c r="L122" s="128" t="s">
        <v>459</v>
      </c>
      <c r="M122" s="1">
        <v>15</v>
      </c>
      <c r="N122" s="181">
        <v>177.11</v>
      </c>
      <c r="O122" s="186">
        <v>287.36</v>
      </c>
      <c r="P122" s="150">
        <v>442.43</v>
      </c>
      <c r="Q122" s="179">
        <v>74.2</v>
      </c>
      <c r="R122" s="150">
        <v>287.36</v>
      </c>
      <c r="S122" s="179">
        <f t="shared" si="2"/>
        <v>287.35632183908046</v>
      </c>
      <c r="T122" s="179">
        <f t="shared" si="3"/>
        <v>3.6781609195486453E-3</v>
      </c>
      <c r="U122" s="179"/>
      <c r="V122" s="179" t="s">
        <v>460</v>
      </c>
      <c r="W122" s="179" t="s">
        <v>460</v>
      </c>
      <c r="X122" s="179" t="s">
        <v>460</v>
      </c>
    </row>
    <row r="123" spans="2:24" x14ac:dyDescent="0.3">
      <c r="B123" s="139">
        <v>120</v>
      </c>
      <c r="C123" s="7">
        <v>350</v>
      </c>
      <c r="D123" s="197" t="s">
        <v>685</v>
      </c>
      <c r="E123" s="151" t="s">
        <v>647</v>
      </c>
      <c r="F123" s="196" t="s">
        <v>686</v>
      </c>
      <c r="G123" s="128" t="s">
        <v>458</v>
      </c>
      <c r="H123" s="2">
        <v>3</v>
      </c>
      <c r="I123" s="1">
        <v>1</v>
      </c>
      <c r="J123" s="5">
        <v>5.2600000000000001E-2</v>
      </c>
      <c r="K123" s="132">
        <v>5.2200000000000003E-2</v>
      </c>
      <c r="L123" s="128" t="s">
        <v>459</v>
      </c>
      <c r="M123" s="1">
        <v>15</v>
      </c>
      <c r="N123" s="181">
        <v>177.11</v>
      </c>
      <c r="O123" s="186">
        <v>287.36</v>
      </c>
      <c r="P123" s="150">
        <v>442.43</v>
      </c>
      <c r="Q123" s="179">
        <v>74.2</v>
      </c>
      <c r="R123" s="150">
        <v>287.36</v>
      </c>
      <c r="S123" s="179">
        <f t="shared" si="2"/>
        <v>287.35632183908046</v>
      </c>
      <c r="T123" s="179">
        <f t="shared" si="3"/>
        <v>3.6781609195486453E-3</v>
      </c>
      <c r="U123" s="179"/>
      <c r="V123" s="179" t="s">
        <v>460</v>
      </c>
      <c r="W123" s="179" t="s">
        <v>460</v>
      </c>
      <c r="X123" s="179" t="s">
        <v>460</v>
      </c>
    </row>
    <row r="124" spans="2:24" x14ac:dyDescent="0.3">
      <c r="B124" s="139">
        <v>121</v>
      </c>
      <c r="C124" s="7">
        <v>352</v>
      </c>
      <c r="D124" s="197" t="s">
        <v>264</v>
      </c>
      <c r="E124" s="151" t="s">
        <v>647</v>
      </c>
      <c r="F124" s="196" t="s">
        <v>687</v>
      </c>
      <c r="G124" s="128" t="s">
        <v>458</v>
      </c>
      <c r="H124" s="2">
        <v>33</v>
      </c>
      <c r="I124" s="1">
        <v>7</v>
      </c>
      <c r="J124" s="5">
        <v>1.1348</v>
      </c>
      <c r="K124" s="132">
        <v>1.0038</v>
      </c>
      <c r="L124" s="128" t="s">
        <v>459</v>
      </c>
      <c r="M124" s="1">
        <v>265</v>
      </c>
      <c r="N124" s="181" t="s">
        <v>688</v>
      </c>
      <c r="O124" s="186">
        <v>167.13</v>
      </c>
      <c r="P124" s="150">
        <v>849.47</v>
      </c>
      <c r="Q124" s="179">
        <v>366.39</v>
      </c>
      <c r="R124" s="150">
        <v>263.99</v>
      </c>
      <c r="S124" s="179">
        <f t="shared" si="2"/>
        <v>263.99681211396694</v>
      </c>
      <c r="T124" s="179">
        <f t="shared" si="3"/>
        <v>6.8121139669301556E-3</v>
      </c>
      <c r="U124" s="179"/>
      <c r="V124" s="179" t="s">
        <v>460</v>
      </c>
      <c r="W124" s="179">
        <v>5.5</v>
      </c>
      <c r="X124" s="179">
        <v>147</v>
      </c>
    </row>
    <row r="125" spans="2:24" x14ac:dyDescent="0.3">
      <c r="B125" s="139">
        <v>122</v>
      </c>
      <c r="C125" s="7">
        <v>357</v>
      </c>
      <c r="D125" s="197" t="s">
        <v>689</v>
      </c>
      <c r="E125" s="151" t="s">
        <v>647</v>
      </c>
      <c r="F125" s="196" t="s">
        <v>690</v>
      </c>
      <c r="G125" s="128" t="s">
        <v>458</v>
      </c>
      <c r="H125" s="2">
        <v>14</v>
      </c>
      <c r="I125" s="1">
        <v>4</v>
      </c>
      <c r="J125" s="5">
        <v>0.51359999999999995</v>
      </c>
      <c r="K125" s="132">
        <v>0.4456</v>
      </c>
      <c r="L125" s="128" t="s">
        <v>459</v>
      </c>
      <c r="M125" s="1">
        <v>103</v>
      </c>
      <c r="N125" s="181">
        <v>0.05</v>
      </c>
      <c r="O125" s="186">
        <v>201.11</v>
      </c>
      <c r="P125" s="150">
        <v>887.85</v>
      </c>
      <c r="Q125" s="179">
        <v>348.76</v>
      </c>
      <c r="R125" s="150">
        <v>231.16</v>
      </c>
      <c r="S125" s="179">
        <f t="shared" si="2"/>
        <v>231.14901256732495</v>
      </c>
      <c r="T125" s="179">
        <f t="shared" si="3"/>
        <v>1.0987432675051423E-2</v>
      </c>
      <c r="U125" s="179"/>
      <c r="V125" s="179" t="s">
        <v>460</v>
      </c>
      <c r="W125" s="179">
        <v>4.4000000000000004</v>
      </c>
      <c r="X125" s="179">
        <v>24</v>
      </c>
    </row>
    <row r="126" spans="2:24" x14ac:dyDescent="0.3">
      <c r="B126" s="139">
        <v>123</v>
      </c>
      <c r="C126" s="7">
        <v>358</v>
      </c>
      <c r="D126" s="197" t="s">
        <v>691</v>
      </c>
      <c r="E126" s="151" t="s">
        <v>647</v>
      </c>
      <c r="F126" s="196" t="s">
        <v>692</v>
      </c>
      <c r="G126" s="128" t="s">
        <v>458</v>
      </c>
      <c r="H126" s="2">
        <v>12</v>
      </c>
      <c r="I126" s="1">
        <v>6</v>
      </c>
      <c r="J126" s="5">
        <v>0.39479999999999998</v>
      </c>
      <c r="K126" s="132">
        <v>0.36159999999999998</v>
      </c>
      <c r="L126" s="128" t="s">
        <v>459</v>
      </c>
      <c r="M126" s="1">
        <v>147</v>
      </c>
      <c r="N126" s="181" t="s">
        <v>648</v>
      </c>
      <c r="O126" s="186">
        <v>215.14</v>
      </c>
      <c r="P126" s="150">
        <v>1112.79</v>
      </c>
      <c r="Q126" s="179">
        <v>488.46</v>
      </c>
      <c r="R126" s="150">
        <v>406.52</v>
      </c>
      <c r="S126" s="179">
        <f t="shared" si="2"/>
        <v>406.52654867256638</v>
      </c>
      <c r="T126" s="179">
        <f t="shared" si="3"/>
        <v>6.5486725663959078E-3</v>
      </c>
      <c r="U126" s="179"/>
      <c r="V126" s="179" t="s">
        <v>460</v>
      </c>
      <c r="W126" s="179">
        <v>6.1</v>
      </c>
      <c r="X126" s="179">
        <v>147</v>
      </c>
    </row>
    <row r="127" spans="2:24" x14ac:dyDescent="0.3">
      <c r="B127" s="139">
        <v>124</v>
      </c>
      <c r="C127" s="7">
        <v>359</v>
      </c>
      <c r="D127" s="197" t="s">
        <v>693</v>
      </c>
      <c r="E127" s="151" t="s">
        <v>647</v>
      </c>
      <c r="F127" s="196" t="s">
        <v>694</v>
      </c>
      <c r="G127" s="128" t="s">
        <v>458</v>
      </c>
      <c r="H127" s="2">
        <v>7</v>
      </c>
      <c r="I127" s="1">
        <v>5</v>
      </c>
      <c r="J127" s="5">
        <v>0.22639999999999999</v>
      </c>
      <c r="K127" s="132">
        <v>0.1966</v>
      </c>
      <c r="L127" s="128" t="s">
        <v>459</v>
      </c>
      <c r="M127" s="1">
        <v>15</v>
      </c>
      <c r="N127" s="181">
        <v>13.29</v>
      </c>
      <c r="O127" s="186">
        <v>90.07</v>
      </c>
      <c r="P127" s="150">
        <v>223.91</v>
      </c>
      <c r="Q127" s="179">
        <v>68.709999999999994</v>
      </c>
      <c r="R127" s="150">
        <v>76.290000000000006</v>
      </c>
      <c r="S127" s="179">
        <f t="shared" si="2"/>
        <v>76.297049847405901</v>
      </c>
      <c r="T127" s="179">
        <f t="shared" si="3"/>
        <v>7.0498474058950933E-3</v>
      </c>
      <c r="U127" s="179"/>
      <c r="V127" s="179" t="s">
        <v>460</v>
      </c>
      <c r="W127" s="179">
        <v>8.9</v>
      </c>
      <c r="X127" s="179">
        <v>31</v>
      </c>
    </row>
    <row r="128" spans="2:24" x14ac:dyDescent="0.3">
      <c r="B128" s="139">
        <v>125</v>
      </c>
      <c r="C128" s="7">
        <v>360</v>
      </c>
      <c r="D128" s="197" t="s">
        <v>695</v>
      </c>
      <c r="E128" s="151" t="s">
        <v>647</v>
      </c>
      <c r="F128" s="196" t="s">
        <v>696</v>
      </c>
      <c r="G128" s="128" t="s">
        <v>458</v>
      </c>
      <c r="H128" s="1">
        <v>20</v>
      </c>
      <c r="I128" s="1">
        <v>3</v>
      </c>
      <c r="J128" s="7">
        <v>0.4854</v>
      </c>
      <c r="K128" s="95">
        <v>0.47589999999999999</v>
      </c>
      <c r="L128" s="128" t="s">
        <v>459</v>
      </c>
      <c r="M128" s="1">
        <v>8</v>
      </c>
      <c r="N128" s="150">
        <v>8.4499999999999993</v>
      </c>
      <c r="O128" s="186">
        <v>16.899999999999999</v>
      </c>
      <c r="P128" s="150">
        <v>27.72</v>
      </c>
      <c r="Q128" s="150">
        <v>5.94</v>
      </c>
      <c r="R128" s="150">
        <v>16.809999999999999</v>
      </c>
      <c r="S128" s="179">
        <f t="shared" si="2"/>
        <v>16.810254255095607</v>
      </c>
      <c r="T128" s="179">
        <f t="shared" si="3"/>
        <v>2.5425509560861315E-4</v>
      </c>
      <c r="U128" s="179"/>
      <c r="V128" s="179" t="s">
        <v>460</v>
      </c>
      <c r="W128" s="179">
        <v>12</v>
      </c>
      <c r="X128" s="179">
        <v>70</v>
      </c>
    </row>
    <row r="129" spans="2:24" x14ac:dyDescent="0.3">
      <c r="B129" s="139">
        <v>126</v>
      </c>
      <c r="C129" s="7">
        <v>363</v>
      </c>
      <c r="D129" s="197" t="s">
        <v>697</v>
      </c>
      <c r="E129" s="151" t="s">
        <v>647</v>
      </c>
      <c r="F129" s="196" t="s">
        <v>698</v>
      </c>
      <c r="G129" s="128" t="s">
        <v>458</v>
      </c>
      <c r="H129" s="2">
        <v>17</v>
      </c>
      <c r="I129" s="1">
        <v>3</v>
      </c>
      <c r="J129" s="5">
        <v>0.38030000000000003</v>
      </c>
      <c r="K129" s="132">
        <v>0.37219999999999998</v>
      </c>
      <c r="L129" s="128" t="s">
        <v>459</v>
      </c>
      <c r="M129" s="1">
        <v>6</v>
      </c>
      <c r="N129" s="181">
        <v>7.11</v>
      </c>
      <c r="O129" s="186">
        <v>16.21</v>
      </c>
      <c r="P129" s="150">
        <v>28.34</v>
      </c>
      <c r="Q129" s="179">
        <v>6.58</v>
      </c>
      <c r="R129" s="150">
        <v>16.12</v>
      </c>
      <c r="S129" s="179">
        <f t="shared" si="2"/>
        <v>16.120365394948955</v>
      </c>
      <c r="T129" s="179">
        <f t="shared" si="3"/>
        <v>3.6539494895393432E-4</v>
      </c>
      <c r="U129" s="179"/>
      <c r="V129" s="179" t="s">
        <v>460</v>
      </c>
      <c r="W129" s="179">
        <v>15</v>
      </c>
      <c r="X129" s="179">
        <v>70</v>
      </c>
    </row>
    <row r="130" spans="2:24" x14ac:dyDescent="0.3">
      <c r="B130" s="139">
        <v>127</v>
      </c>
      <c r="C130" s="7">
        <v>364</v>
      </c>
      <c r="D130" s="197" t="s">
        <v>699</v>
      </c>
      <c r="E130" s="151" t="s">
        <v>647</v>
      </c>
      <c r="F130" s="196" t="s">
        <v>700</v>
      </c>
      <c r="G130" s="128" t="s">
        <v>458</v>
      </c>
      <c r="H130" s="2">
        <v>3</v>
      </c>
      <c r="I130" s="1">
        <v>1</v>
      </c>
      <c r="J130" s="5">
        <v>0.1052</v>
      </c>
      <c r="K130" s="132">
        <v>0.1037</v>
      </c>
      <c r="L130" s="128" t="s">
        <v>459</v>
      </c>
      <c r="M130" s="1">
        <v>2</v>
      </c>
      <c r="N130" s="181">
        <v>3.42</v>
      </c>
      <c r="O130" s="186">
        <v>19.29</v>
      </c>
      <c r="P130" s="150">
        <v>60.72</v>
      </c>
      <c r="Q130" s="179">
        <v>13.64</v>
      </c>
      <c r="R130" s="150">
        <v>19.29</v>
      </c>
      <c r="S130" s="179">
        <f t="shared" si="2"/>
        <v>19.286403085824492</v>
      </c>
      <c r="T130" s="179">
        <f t="shared" si="3"/>
        <v>3.5969141755067824E-3</v>
      </c>
      <c r="U130" s="179"/>
      <c r="V130" s="179" t="s">
        <v>460</v>
      </c>
      <c r="W130" s="179">
        <v>3</v>
      </c>
      <c r="X130" s="179">
        <v>3</v>
      </c>
    </row>
    <row r="131" spans="2:24" x14ac:dyDescent="0.3">
      <c r="B131" s="139">
        <v>128</v>
      </c>
      <c r="C131" s="7">
        <v>365</v>
      </c>
      <c r="D131" s="197" t="s">
        <v>701</v>
      </c>
      <c r="E131" s="151" t="s">
        <v>647</v>
      </c>
      <c r="F131" s="196" t="s">
        <v>702</v>
      </c>
      <c r="G131" s="128" t="s">
        <v>458</v>
      </c>
      <c r="H131" s="2">
        <v>6</v>
      </c>
      <c r="I131" s="1">
        <v>1</v>
      </c>
      <c r="J131" s="5">
        <v>0.1053</v>
      </c>
      <c r="K131" s="132">
        <v>0.1032</v>
      </c>
      <c r="L131" s="128" t="s">
        <v>459</v>
      </c>
      <c r="M131" s="1">
        <v>7</v>
      </c>
      <c r="N131" s="181">
        <v>31.83</v>
      </c>
      <c r="O131" s="186">
        <v>67.83</v>
      </c>
      <c r="P131" s="150">
        <v>127.42</v>
      </c>
      <c r="Q131" s="179">
        <v>25.64</v>
      </c>
      <c r="R131" s="150">
        <v>67.83</v>
      </c>
      <c r="S131" s="179">
        <f t="shared" si="2"/>
        <v>67.829457364341081</v>
      </c>
      <c r="T131" s="179">
        <f t="shared" si="3"/>
        <v>5.4263565891687904E-4</v>
      </c>
      <c r="U131" s="179"/>
      <c r="V131" s="179" t="s">
        <v>460</v>
      </c>
      <c r="W131" s="179" t="s">
        <v>460</v>
      </c>
      <c r="X131" s="179" t="s">
        <v>460</v>
      </c>
    </row>
    <row r="132" spans="2:24" x14ac:dyDescent="0.3">
      <c r="B132" s="139">
        <v>129</v>
      </c>
      <c r="C132" s="7">
        <v>368</v>
      </c>
      <c r="D132" s="197" t="s">
        <v>703</v>
      </c>
      <c r="E132" s="151" t="s">
        <v>647</v>
      </c>
      <c r="F132" s="196" t="s">
        <v>704</v>
      </c>
      <c r="G132" s="128" t="s">
        <v>458</v>
      </c>
      <c r="H132" s="2">
        <v>6</v>
      </c>
      <c r="I132" s="1">
        <v>1</v>
      </c>
      <c r="J132" s="5">
        <v>0.1053</v>
      </c>
      <c r="K132" s="132">
        <v>0.1032</v>
      </c>
      <c r="L132" s="128" t="s">
        <v>459</v>
      </c>
      <c r="M132" s="1">
        <v>7</v>
      </c>
      <c r="N132" s="181">
        <v>31.83</v>
      </c>
      <c r="O132" s="186">
        <v>67.83</v>
      </c>
      <c r="P132" s="150">
        <v>127.42</v>
      </c>
      <c r="Q132" s="179">
        <v>25.64</v>
      </c>
      <c r="R132" s="150">
        <v>67.83</v>
      </c>
      <c r="S132" s="179">
        <f t="shared" si="2"/>
        <v>67.829457364341081</v>
      </c>
      <c r="T132" s="179">
        <f t="shared" si="3"/>
        <v>5.4263565891687904E-4</v>
      </c>
      <c r="U132" s="179"/>
      <c r="V132" s="179" t="s">
        <v>460</v>
      </c>
      <c r="W132" s="179" t="s">
        <v>460</v>
      </c>
      <c r="X132" s="179" t="s">
        <v>460</v>
      </c>
    </row>
    <row r="133" spans="2:24" x14ac:dyDescent="0.3">
      <c r="B133" s="139">
        <v>130</v>
      </c>
      <c r="C133" s="7">
        <v>370</v>
      </c>
      <c r="D133" s="197" t="s">
        <v>255</v>
      </c>
      <c r="E133" s="151" t="s">
        <v>647</v>
      </c>
      <c r="F133" s="196" t="s">
        <v>705</v>
      </c>
      <c r="G133" s="128" t="s">
        <v>458</v>
      </c>
      <c r="H133" s="2">
        <v>25</v>
      </c>
      <c r="I133" s="1">
        <v>7</v>
      </c>
      <c r="J133" s="5">
        <v>0.65449999999999997</v>
      </c>
      <c r="K133" s="132">
        <v>0.62860000000000005</v>
      </c>
      <c r="L133" s="128" t="s">
        <v>459</v>
      </c>
      <c r="M133" s="1">
        <v>96</v>
      </c>
      <c r="N133" s="181">
        <v>5.9</v>
      </c>
      <c r="O133" s="186">
        <v>139.21</v>
      </c>
      <c r="P133" s="150">
        <v>418.52</v>
      </c>
      <c r="Q133" s="179">
        <v>141.36000000000001</v>
      </c>
      <c r="R133" s="150">
        <v>152.72999999999999</v>
      </c>
      <c r="S133" s="179">
        <f t="shared" ref="S133:S196" si="4">M133/K133</f>
        <v>152.72033089405025</v>
      </c>
      <c r="T133" s="179">
        <f t="shared" ref="T133:T196" si="5">ABS(R133-S133)</f>
        <v>9.6691059497402421E-3</v>
      </c>
      <c r="U133" s="179"/>
      <c r="V133" s="179" t="s">
        <v>460</v>
      </c>
      <c r="W133" s="179">
        <v>9.6999999999999993</v>
      </c>
      <c r="X133" s="179">
        <v>36</v>
      </c>
    </row>
    <row r="134" spans="2:24" x14ac:dyDescent="0.3">
      <c r="B134" s="139">
        <v>131</v>
      </c>
      <c r="C134" s="7">
        <v>375</v>
      </c>
      <c r="D134" s="197" t="s">
        <v>706</v>
      </c>
      <c r="E134" s="151" t="s">
        <v>647</v>
      </c>
      <c r="F134" s="196" t="s">
        <v>707</v>
      </c>
      <c r="G134" s="128" t="s">
        <v>458</v>
      </c>
      <c r="H134" s="1">
        <v>17</v>
      </c>
      <c r="I134" s="202">
        <v>6</v>
      </c>
      <c r="J134" s="5">
        <v>0.48799999999999999</v>
      </c>
      <c r="K134" s="8">
        <v>0.46750000000000003</v>
      </c>
      <c r="L134" s="128" t="s">
        <v>459</v>
      </c>
      <c r="M134" s="1">
        <v>90</v>
      </c>
      <c r="N134" s="181">
        <v>13.48</v>
      </c>
      <c r="O134" s="186">
        <v>157.16999999999999</v>
      </c>
      <c r="P134" s="150">
        <v>438.14</v>
      </c>
      <c r="Q134" s="179">
        <v>142.63</v>
      </c>
      <c r="R134" s="150">
        <v>192.52</v>
      </c>
      <c r="S134" s="179">
        <f t="shared" si="4"/>
        <v>192.51336898395721</v>
      </c>
      <c r="T134" s="179">
        <f t="shared" si="5"/>
        <v>6.6310160428031395E-3</v>
      </c>
      <c r="U134" s="179"/>
      <c r="V134" s="179" t="s">
        <v>460</v>
      </c>
      <c r="W134" s="150">
        <v>9.6999999999999993</v>
      </c>
      <c r="X134" s="179">
        <v>36</v>
      </c>
    </row>
    <row r="135" spans="2:24" x14ac:dyDescent="0.3">
      <c r="B135" s="139">
        <v>132</v>
      </c>
      <c r="C135" s="7">
        <v>376</v>
      </c>
      <c r="D135" s="197" t="s">
        <v>708</v>
      </c>
      <c r="E135" s="151" t="s">
        <v>647</v>
      </c>
      <c r="F135" s="196" t="s">
        <v>709</v>
      </c>
      <c r="G135" s="128" t="s">
        <v>458</v>
      </c>
      <c r="H135" s="2">
        <v>8</v>
      </c>
      <c r="I135" s="1">
        <v>2</v>
      </c>
      <c r="J135" s="5">
        <v>0.16639999999999999</v>
      </c>
      <c r="K135" s="8">
        <v>0.16109999999999999</v>
      </c>
      <c r="L135" s="128" t="s">
        <v>459</v>
      </c>
      <c r="M135" s="1">
        <v>6</v>
      </c>
      <c r="N135" s="181">
        <v>0.49</v>
      </c>
      <c r="O135" s="186">
        <v>32</v>
      </c>
      <c r="P135" s="150">
        <v>101.1</v>
      </c>
      <c r="Q135" s="179">
        <v>36.270000000000003</v>
      </c>
      <c r="R135" s="150">
        <v>37.25</v>
      </c>
      <c r="S135" s="179">
        <f t="shared" si="4"/>
        <v>37.243947858473</v>
      </c>
      <c r="T135" s="179">
        <f t="shared" si="5"/>
        <v>6.0521415270002876E-3</v>
      </c>
      <c r="U135" s="179"/>
      <c r="V135" s="179" t="s">
        <v>460</v>
      </c>
      <c r="W135" s="179" t="s">
        <v>460</v>
      </c>
      <c r="X135" s="179" t="s">
        <v>460</v>
      </c>
    </row>
    <row r="136" spans="2:24" x14ac:dyDescent="0.3">
      <c r="B136" s="139">
        <v>133</v>
      </c>
      <c r="C136" s="7">
        <v>378</v>
      </c>
      <c r="D136" s="197" t="s">
        <v>396</v>
      </c>
      <c r="E136" s="151" t="s">
        <v>647</v>
      </c>
      <c r="F136" s="196" t="s">
        <v>710</v>
      </c>
      <c r="G136" s="128" t="s">
        <v>458</v>
      </c>
      <c r="H136" s="2">
        <v>83</v>
      </c>
      <c r="I136" s="1">
        <v>13</v>
      </c>
      <c r="J136" s="5">
        <v>4.6936999999999998</v>
      </c>
      <c r="K136" s="8">
        <v>1.3050999999999999</v>
      </c>
      <c r="L136" s="128" t="s">
        <v>459</v>
      </c>
      <c r="M136" s="1">
        <v>837</v>
      </c>
      <c r="N136" s="181">
        <v>0.04</v>
      </c>
      <c r="O136" s="186">
        <v>526.87</v>
      </c>
      <c r="P136" s="150">
        <v>2433.1999999999998</v>
      </c>
      <c r="Q136" s="179">
        <v>979.64</v>
      </c>
      <c r="R136" s="150">
        <v>641.34</v>
      </c>
      <c r="S136" s="179">
        <f t="shared" si="4"/>
        <v>641.33016627078393</v>
      </c>
      <c r="T136" s="179">
        <f t="shared" si="5"/>
        <v>9.8337292160977086E-3</v>
      </c>
      <c r="U136" s="179"/>
      <c r="V136" s="179" t="s">
        <v>460</v>
      </c>
      <c r="W136" s="179">
        <v>5</v>
      </c>
      <c r="X136" s="179">
        <v>85</v>
      </c>
    </row>
    <row r="137" spans="2:24" x14ac:dyDescent="0.3">
      <c r="B137" s="122">
        <v>134</v>
      </c>
      <c r="C137" s="122">
        <v>384</v>
      </c>
      <c r="D137" s="197" t="s">
        <v>711</v>
      </c>
      <c r="E137" s="151" t="s">
        <v>647</v>
      </c>
      <c r="F137" s="196" t="s">
        <v>712</v>
      </c>
      <c r="G137" s="128" t="s">
        <v>458</v>
      </c>
      <c r="H137" s="124">
        <v>50</v>
      </c>
      <c r="I137" s="125">
        <v>5</v>
      </c>
      <c r="J137" s="126">
        <v>3.7259000000000002</v>
      </c>
      <c r="K137" s="123">
        <v>0.35520000000000002</v>
      </c>
      <c r="L137" s="128" t="s">
        <v>459</v>
      </c>
      <c r="M137" s="1">
        <v>174</v>
      </c>
      <c r="N137" s="181">
        <v>85.37</v>
      </c>
      <c r="O137" s="186">
        <v>499.14</v>
      </c>
      <c r="P137" s="150">
        <v>1196.46</v>
      </c>
      <c r="Q137" s="179">
        <v>359.14</v>
      </c>
      <c r="R137" s="150">
        <v>489.87</v>
      </c>
      <c r="S137" s="179">
        <f t="shared" si="4"/>
        <v>489.86486486486484</v>
      </c>
      <c r="T137" s="179">
        <f t="shared" si="5"/>
        <v>5.1351351351627272E-3</v>
      </c>
      <c r="U137" s="179"/>
      <c r="V137" s="179" t="s">
        <v>460</v>
      </c>
      <c r="W137" s="179">
        <v>2.4</v>
      </c>
      <c r="X137" s="179">
        <v>7</v>
      </c>
    </row>
    <row r="138" spans="2:24" x14ac:dyDescent="0.3">
      <c r="B138" s="139">
        <v>135</v>
      </c>
      <c r="C138" s="7">
        <v>386</v>
      </c>
      <c r="D138" s="197" t="s">
        <v>713</v>
      </c>
      <c r="E138" s="151" t="s">
        <v>647</v>
      </c>
      <c r="F138" s="196" t="s">
        <v>714</v>
      </c>
      <c r="G138" s="128" t="s">
        <v>458</v>
      </c>
      <c r="H138" s="2">
        <v>32</v>
      </c>
      <c r="I138" s="1">
        <v>9</v>
      </c>
      <c r="J138" s="5">
        <v>0.93710000000000004</v>
      </c>
      <c r="K138" s="8">
        <v>0.91930000000000001</v>
      </c>
      <c r="L138" s="128" t="s">
        <v>459</v>
      </c>
      <c r="M138" s="1">
        <v>655</v>
      </c>
      <c r="N138" s="181">
        <v>0.01</v>
      </c>
      <c r="O138" s="186">
        <v>591.66</v>
      </c>
      <c r="P138" s="150">
        <v>2831.03</v>
      </c>
      <c r="Q138" s="179">
        <v>1164.6400000000001</v>
      </c>
      <c r="R138" s="150">
        <v>712.53</v>
      </c>
      <c r="S138" s="179">
        <f t="shared" si="4"/>
        <v>712.49864026977048</v>
      </c>
      <c r="T138" s="179">
        <f t="shared" si="5"/>
        <v>3.1359730229496563E-2</v>
      </c>
      <c r="U138" s="179"/>
      <c r="V138" s="179" t="s">
        <v>460</v>
      </c>
      <c r="W138" s="179">
        <v>5.5</v>
      </c>
      <c r="X138" s="179">
        <v>85</v>
      </c>
    </row>
    <row r="139" spans="2:24" x14ac:dyDescent="0.3">
      <c r="B139" s="139">
        <v>136</v>
      </c>
      <c r="C139" s="7">
        <v>387</v>
      </c>
      <c r="D139" s="197" t="s">
        <v>259</v>
      </c>
      <c r="E139" s="151" t="s">
        <v>647</v>
      </c>
      <c r="F139" s="196" t="s">
        <v>715</v>
      </c>
      <c r="G139" s="128" t="s">
        <v>458</v>
      </c>
      <c r="H139" s="203">
        <v>1</v>
      </c>
      <c r="I139" s="203">
        <v>1</v>
      </c>
      <c r="J139" s="8">
        <v>3.0599999999999999E-2</v>
      </c>
      <c r="K139" s="8">
        <v>3.062435401753244E-2</v>
      </c>
      <c r="L139" s="128" t="s">
        <v>459</v>
      </c>
      <c r="M139" s="1">
        <v>8</v>
      </c>
      <c r="N139" s="181">
        <v>129.96</v>
      </c>
      <c r="O139" s="182">
        <v>261.23</v>
      </c>
      <c r="P139" s="181">
        <v>471.36</v>
      </c>
      <c r="Q139" s="181">
        <v>92.36</v>
      </c>
      <c r="R139" s="150">
        <v>261.23</v>
      </c>
      <c r="S139" s="179">
        <f t="shared" si="4"/>
        <v>261.23</v>
      </c>
      <c r="T139" s="179">
        <f t="shared" si="5"/>
        <v>0</v>
      </c>
      <c r="U139" s="193">
        <f>M139/R139</f>
        <v>3.062435401753244E-2</v>
      </c>
      <c r="V139" s="179" t="s">
        <v>460</v>
      </c>
      <c r="W139" s="150">
        <v>10</v>
      </c>
      <c r="X139" s="150">
        <v>30</v>
      </c>
    </row>
    <row r="140" spans="2:24" x14ac:dyDescent="0.3">
      <c r="B140" s="139">
        <v>137</v>
      </c>
      <c r="C140" s="7">
        <v>388</v>
      </c>
      <c r="D140" s="197" t="s">
        <v>716</v>
      </c>
      <c r="E140" s="151" t="s">
        <v>647</v>
      </c>
      <c r="F140" s="196" t="s">
        <v>717</v>
      </c>
      <c r="G140" s="128" t="s">
        <v>458</v>
      </c>
      <c r="H140" s="2">
        <v>2</v>
      </c>
      <c r="I140" s="1">
        <v>2</v>
      </c>
      <c r="J140" s="5">
        <v>4.82E-2</v>
      </c>
      <c r="K140" s="8">
        <v>4.7100000000000003E-2</v>
      </c>
      <c r="L140" s="128" t="s">
        <v>459</v>
      </c>
      <c r="M140" s="1">
        <v>0</v>
      </c>
      <c r="N140" s="181">
        <v>0.04</v>
      </c>
      <c r="O140" s="186">
        <v>10.199999999999999</v>
      </c>
      <c r="P140" s="150">
        <v>39.17</v>
      </c>
      <c r="Q140" s="179">
        <v>14.43</v>
      </c>
      <c r="R140" s="179">
        <v>0</v>
      </c>
      <c r="S140" s="179">
        <f t="shared" si="4"/>
        <v>0</v>
      </c>
      <c r="T140" s="179">
        <f t="shared" si="5"/>
        <v>0</v>
      </c>
      <c r="U140" s="179"/>
      <c r="V140" s="179" t="s">
        <v>460</v>
      </c>
      <c r="W140" s="179" t="s">
        <v>460</v>
      </c>
      <c r="X140" s="179" t="s">
        <v>460</v>
      </c>
    </row>
    <row r="141" spans="2:24" x14ac:dyDescent="0.3">
      <c r="B141" s="139">
        <v>138</v>
      </c>
      <c r="C141" s="7">
        <v>389</v>
      </c>
      <c r="D141" s="197" t="s">
        <v>718</v>
      </c>
      <c r="E141" s="151" t="s">
        <v>647</v>
      </c>
      <c r="F141" s="196" t="s">
        <v>719</v>
      </c>
      <c r="G141" s="128" t="s">
        <v>458</v>
      </c>
      <c r="H141" s="2">
        <v>2</v>
      </c>
      <c r="I141" s="1">
        <v>2</v>
      </c>
      <c r="J141" s="5">
        <v>4.82E-2</v>
      </c>
      <c r="K141" s="8">
        <v>4.7100000000000003E-2</v>
      </c>
      <c r="L141" s="128" t="s">
        <v>459</v>
      </c>
      <c r="M141" s="1">
        <v>0</v>
      </c>
      <c r="N141" s="181">
        <v>0.02</v>
      </c>
      <c r="O141" s="186">
        <v>5.2</v>
      </c>
      <c r="P141" s="150">
        <v>19.98</v>
      </c>
      <c r="Q141" s="179">
        <v>7.36</v>
      </c>
      <c r="R141" s="179">
        <v>0</v>
      </c>
      <c r="S141" s="179">
        <f t="shared" si="4"/>
        <v>0</v>
      </c>
      <c r="T141" s="179">
        <f t="shared" si="5"/>
        <v>0</v>
      </c>
      <c r="U141" s="179"/>
      <c r="V141" s="179" t="s">
        <v>460</v>
      </c>
      <c r="W141" s="179" t="s">
        <v>460</v>
      </c>
      <c r="X141" s="179" t="s">
        <v>460</v>
      </c>
    </row>
    <row r="142" spans="2:24" x14ac:dyDescent="0.3">
      <c r="B142" s="139">
        <v>140</v>
      </c>
      <c r="C142" s="7">
        <v>390</v>
      </c>
      <c r="D142" s="197" t="s">
        <v>720</v>
      </c>
      <c r="E142" s="151" t="s">
        <v>647</v>
      </c>
      <c r="F142" s="196" t="s">
        <v>721</v>
      </c>
      <c r="G142" s="128" t="s">
        <v>458</v>
      </c>
      <c r="H142" s="2">
        <v>12</v>
      </c>
      <c r="I142" s="1">
        <v>7</v>
      </c>
      <c r="J142" s="5">
        <v>0.34</v>
      </c>
      <c r="K142" s="8">
        <v>0.27700000000000002</v>
      </c>
      <c r="L142" s="128" t="s">
        <v>459</v>
      </c>
      <c r="M142" s="1">
        <v>32</v>
      </c>
      <c r="N142" s="181">
        <v>1.67</v>
      </c>
      <c r="O142" s="186">
        <v>95.38</v>
      </c>
      <c r="P142" s="150">
        <v>298.37</v>
      </c>
      <c r="Q142" s="179">
        <v>106.31</v>
      </c>
      <c r="R142" s="150">
        <v>115.52</v>
      </c>
      <c r="S142" s="179">
        <f t="shared" si="4"/>
        <v>115.52346570397111</v>
      </c>
      <c r="T142" s="179">
        <f t="shared" si="5"/>
        <v>3.4657039711163407E-3</v>
      </c>
      <c r="U142" s="179"/>
      <c r="V142" s="179" t="s">
        <v>460</v>
      </c>
      <c r="W142" s="179">
        <v>55</v>
      </c>
      <c r="X142" s="179">
        <v>297</v>
      </c>
    </row>
    <row r="143" spans="2:24" x14ac:dyDescent="0.3">
      <c r="B143" s="139">
        <v>139</v>
      </c>
      <c r="C143" s="7">
        <v>393</v>
      </c>
      <c r="D143" s="197" t="s">
        <v>722</v>
      </c>
      <c r="E143" s="151" t="s">
        <v>647</v>
      </c>
      <c r="F143" s="196" t="s">
        <v>723</v>
      </c>
      <c r="G143" s="128" t="s">
        <v>458</v>
      </c>
      <c r="H143" s="1">
        <v>5</v>
      </c>
      <c r="I143" s="202">
        <v>2</v>
      </c>
      <c r="J143" s="5">
        <v>0.1542</v>
      </c>
      <c r="K143" s="8">
        <v>9.7600000000000006E-2</v>
      </c>
      <c r="L143" s="128" t="s">
        <v>459</v>
      </c>
      <c r="M143" s="6">
        <v>18</v>
      </c>
      <c r="N143" s="181">
        <v>9.67</v>
      </c>
      <c r="O143" s="182">
        <v>175.5</v>
      </c>
      <c r="P143" s="181">
        <v>520.38</v>
      </c>
      <c r="Q143" s="181">
        <v>173.25</v>
      </c>
      <c r="R143" s="150">
        <v>184.34</v>
      </c>
      <c r="S143" s="179">
        <f t="shared" si="4"/>
        <v>184.42622950819671</v>
      </c>
      <c r="T143" s="179">
        <f t="shared" si="5"/>
        <v>8.6229508196709048E-2</v>
      </c>
      <c r="U143" s="179"/>
      <c r="V143" s="179" t="s">
        <v>460</v>
      </c>
      <c r="W143" s="150">
        <v>14</v>
      </c>
      <c r="X143" s="150">
        <v>17</v>
      </c>
    </row>
    <row r="144" spans="2:24" x14ac:dyDescent="0.3">
      <c r="B144" s="139">
        <v>141</v>
      </c>
      <c r="C144" s="7">
        <v>394</v>
      </c>
      <c r="D144" s="197" t="s">
        <v>724</v>
      </c>
      <c r="E144" s="151" t="s">
        <v>647</v>
      </c>
      <c r="F144" s="196" t="s">
        <v>725</v>
      </c>
      <c r="G144" s="128" t="s">
        <v>458</v>
      </c>
      <c r="H144" s="2">
        <v>5</v>
      </c>
      <c r="I144" s="1">
        <v>5</v>
      </c>
      <c r="J144" s="5">
        <v>0.13669999999999999</v>
      </c>
      <c r="K144" s="8">
        <v>0.1333</v>
      </c>
      <c r="L144" s="128" t="s">
        <v>459</v>
      </c>
      <c r="M144" s="1">
        <v>6</v>
      </c>
      <c r="N144" s="181">
        <v>0.05</v>
      </c>
      <c r="O144" s="186">
        <v>50.25</v>
      </c>
      <c r="P144" s="150">
        <v>208.05</v>
      </c>
      <c r="Q144" s="179">
        <v>79.09</v>
      </c>
      <c r="R144" s="150">
        <v>45.02</v>
      </c>
      <c r="S144" s="179">
        <f t="shared" si="4"/>
        <v>45.011252813203299</v>
      </c>
      <c r="T144" s="179">
        <f t="shared" si="5"/>
        <v>8.7471867967039429E-3</v>
      </c>
      <c r="U144" s="179"/>
      <c r="V144" s="179" t="s">
        <v>460</v>
      </c>
      <c r="W144" s="179">
        <v>102</v>
      </c>
      <c r="X144" s="179">
        <v>297</v>
      </c>
    </row>
    <row r="145" spans="2:24" x14ac:dyDescent="0.3">
      <c r="B145" s="139">
        <v>142</v>
      </c>
      <c r="C145" s="7">
        <v>395</v>
      </c>
      <c r="D145" s="197" t="s">
        <v>726</v>
      </c>
      <c r="E145" s="151" t="s">
        <v>647</v>
      </c>
      <c r="F145" s="196" t="s">
        <v>727</v>
      </c>
      <c r="G145" s="128" t="s">
        <v>458</v>
      </c>
      <c r="H145" s="2">
        <v>2</v>
      </c>
      <c r="I145" s="1">
        <v>2</v>
      </c>
      <c r="J145" s="5">
        <v>4.9099999999999998E-2</v>
      </c>
      <c r="K145" s="8">
        <v>4.6067027525048945E-2</v>
      </c>
      <c r="L145" s="128" t="s">
        <v>459</v>
      </c>
      <c r="M145" s="1">
        <v>8</v>
      </c>
      <c r="N145" s="181">
        <v>80.69</v>
      </c>
      <c r="O145" s="186">
        <v>174.03</v>
      </c>
      <c r="P145" s="150">
        <v>296.08999999999997</v>
      </c>
      <c r="Q145" s="179">
        <v>66.650000000000006</v>
      </c>
      <c r="R145" s="150">
        <v>173.66</v>
      </c>
      <c r="S145" s="179">
        <f t="shared" si="4"/>
        <v>173.66</v>
      </c>
      <c r="T145" s="179">
        <f t="shared" si="5"/>
        <v>0</v>
      </c>
      <c r="U145" s="185">
        <f>M145/R145</f>
        <v>4.6067027525048945E-2</v>
      </c>
      <c r="V145" s="179" t="s">
        <v>460</v>
      </c>
      <c r="W145" s="179">
        <v>30</v>
      </c>
      <c r="X145" s="179">
        <v>90</v>
      </c>
    </row>
    <row r="146" spans="2:24" x14ac:dyDescent="0.3">
      <c r="B146" s="139">
        <v>143</v>
      </c>
      <c r="C146" s="7">
        <v>400</v>
      </c>
      <c r="D146" s="197" t="s">
        <v>268</v>
      </c>
      <c r="E146" s="151" t="s">
        <v>647</v>
      </c>
      <c r="F146" s="196" t="s">
        <v>728</v>
      </c>
      <c r="G146" s="128" t="s">
        <v>458</v>
      </c>
      <c r="H146" s="2">
        <v>12</v>
      </c>
      <c r="I146" s="1">
        <v>7</v>
      </c>
      <c r="J146" s="5">
        <v>0.32940000000000003</v>
      </c>
      <c r="K146" s="8">
        <v>0.29820000000000002</v>
      </c>
      <c r="L146" s="128" t="s">
        <v>459</v>
      </c>
      <c r="M146" s="1">
        <v>248</v>
      </c>
      <c r="N146" s="181">
        <v>3.27</v>
      </c>
      <c r="O146" s="186">
        <v>782.12</v>
      </c>
      <c r="P146" s="150">
        <v>2953.22</v>
      </c>
      <c r="Q146" s="179">
        <v>1089.25</v>
      </c>
      <c r="R146" s="150">
        <v>831.75</v>
      </c>
      <c r="S146" s="179">
        <f t="shared" si="4"/>
        <v>831.65660630449361</v>
      </c>
      <c r="T146" s="179">
        <f t="shared" si="5"/>
        <v>9.339369550639276E-2</v>
      </c>
      <c r="U146" s="179"/>
      <c r="V146" s="179" t="s">
        <v>460</v>
      </c>
      <c r="W146" s="179">
        <v>10</v>
      </c>
      <c r="X146" s="179">
        <v>407</v>
      </c>
    </row>
    <row r="147" spans="2:24" x14ac:dyDescent="0.3">
      <c r="B147" s="122">
        <v>144</v>
      </c>
      <c r="C147" s="122">
        <v>405</v>
      </c>
      <c r="D147" s="204" t="s">
        <v>729</v>
      </c>
      <c r="E147" s="151" t="s">
        <v>647</v>
      </c>
      <c r="F147" s="196" t="s">
        <v>730</v>
      </c>
      <c r="G147" s="128" t="s">
        <v>458</v>
      </c>
      <c r="H147" s="124">
        <v>2</v>
      </c>
      <c r="I147" s="125">
        <v>1</v>
      </c>
      <c r="J147" s="126">
        <v>4.9099999999999998E-2</v>
      </c>
      <c r="K147" s="123">
        <v>4.5087802562885623E-2</v>
      </c>
      <c r="L147" s="128" t="s">
        <v>459</v>
      </c>
      <c r="M147" s="1">
        <v>19</v>
      </c>
      <c r="N147" s="181">
        <v>275.92</v>
      </c>
      <c r="O147" s="178">
        <v>421.4</v>
      </c>
      <c r="P147" s="150">
        <v>618.29</v>
      </c>
      <c r="Q147" s="179">
        <v>96.68</v>
      </c>
      <c r="R147" s="150">
        <v>421.4</v>
      </c>
      <c r="S147" s="179">
        <f t="shared" si="4"/>
        <v>421.4</v>
      </c>
      <c r="T147" s="179">
        <f t="shared" si="5"/>
        <v>0</v>
      </c>
      <c r="U147" s="185">
        <f>M147/R147</f>
        <v>4.5087802562885623E-2</v>
      </c>
      <c r="V147" s="179" t="s">
        <v>460</v>
      </c>
      <c r="W147" s="179">
        <v>48</v>
      </c>
      <c r="X147" s="179">
        <v>407</v>
      </c>
    </row>
    <row r="148" spans="2:24" x14ac:dyDescent="0.3">
      <c r="B148" s="122">
        <v>145</v>
      </c>
      <c r="C148" s="122">
        <v>408</v>
      </c>
      <c r="D148" s="204" t="s">
        <v>731</v>
      </c>
      <c r="E148" s="151" t="s">
        <v>647</v>
      </c>
      <c r="F148" s="196" t="s">
        <v>732</v>
      </c>
      <c r="G148" s="128" t="s">
        <v>458</v>
      </c>
      <c r="H148" s="124">
        <v>2</v>
      </c>
      <c r="I148" s="125">
        <v>1</v>
      </c>
      <c r="J148" s="126">
        <v>0.49099999999999999</v>
      </c>
      <c r="K148" s="123">
        <v>4.5087802562885623E-2</v>
      </c>
      <c r="L148" s="128" t="s">
        <v>459</v>
      </c>
      <c r="M148" s="1">
        <v>19</v>
      </c>
      <c r="N148" s="181">
        <v>275.92</v>
      </c>
      <c r="O148" s="178">
        <v>421.4</v>
      </c>
      <c r="P148" s="150">
        <v>618.29</v>
      </c>
      <c r="Q148" s="179">
        <v>96.68</v>
      </c>
      <c r="R148" s="150">
        <v>421.4</v>
      </c>
      <c r="S148" s="179">
        <f t="shared" si="4"/>
        <v>421.4</v>
      </c>
      <c r="T148" s="179">
        <f t="shared" si="5"/>
        <v>0</v>
      </c>
      <c r="U148" s="185">
        <f>M148/R148</f>
        <v>4.5087802562885623E-2</v>
      </c>
      <c r="V148" s="179" t="s">
        <v>460</v>
      </c>
      <c r="W148" s="179">
        <v>48</v>
      </c>
      <c r="X148" s="179">
        <v>407</v>
      </c>
    </row>
    <row r="149" spans="2:24" x14ac:dyDescent="0.3">
      <c r="B149" s="139">
        <v>146</v>
      </c>
      <c r="C149" s="7">
        <v>409</v>
      </c>
      <c r="D149" s="197" t="s">
        <v>733</v>
      </c>
      <c r="E149" s="151" t="s">
        <v>647</v>
      </c>
      <c r="F149" s="196" t="s">
        <v>734</v>
      </c>
      <c r="G149" s="128" t="s">
        <v>458</v>
      </c>
      <c r="H149" s="1">
        <v>2</v>
      </c>
      <c r="I149" s="1">
        <v>2</v>
      </c>
      <c r="J149" s="5">
        <v>5.3999999999999999E-2</v>
      </c>
      <c r="K149" s="5">
        <v>5.3400000000000003E-2</v>
      </c>
      <c r="L149" s="128" t="s">
        <v>459</v>
      </c>
      <c r="M149" s="1">
        <v>4</v>
      </c>
      <c r="N149" s="181">
        <v>25.95</v>
      </c>
      <c r="O149" s="186">
        <v>75.349999999999994</v>
      </c>
      <c r="P149" s="150">
        <v>145.59</v>
      </c>
      <c r="Q149" s="150">
        <v>37.44</v>
      </c>
      <c r="R149" s="150">
        <v>74.88</v>
      </c>
      <c r="S149" s="179">
        <f t="shared" si="4"/>
        <v>74.906367041198493</v>
      </c>
      <c r="T149" s="179">
        <f t="shared" si="5"/>
        <v>2.6367041198497532E-2</v>
      </c>
      <c r="U149" s="179"/>
      <c r="V149" s="179" t="s">
        <v>460</v>
      </c>
      <c r="W149" s="179">
        <v>2.5</v>
      </c>
      <c r="X149" s="179">
        <v>3</v>
      </c>
    </row>
    <row r="150" spans="2:24" x14ac:dyDescent="0.3">
      <c r="B150" s="139">
        <v>147</v>
      </c>
      <c r="C150" s="7">
        <v>412</v>
      </c>
      <c r="D150" s="197" t="s">
        <v>735</v>
      </c>
      <c r="E150" s="151" t="s">
        <v>647</v>
      </c>
      <c r="F150" s="196" t="s">
        <v>736</v>
      </c>
      <c r="G150" s="128" t="s">
        <v>458</v>
      </c>
      <c r="H150" s="2">
        <v>2</v>
      </c>
      <c r="I150" s="1">
        <v>2</v>
      </c>
      <c r="J150" s="5">
        <v>5.3999999999999999E-2</v>
      </c>
      <c r="K150" s="5">
        <v>5.3400000000000003E-2</v>
      </c>
      <c r="L150" s="128" t="s">
        <v>459</v>
      </c>
      <c r="M150" s="1">
        <v>4</v>
      </c>
      <c r="N150" s="181">
        <v>25.95</v>
      </c>
      <c r="O150" s="186">
        <v>75.349999999999994</v>
      </c>
      <c r="P150" s="150">
        <v>145.59</v>
      </c>
      <c r="Q150" s="150">
        <v>37.44</v>
      </c>
      <c r="R150" s="150">
        <v>74.88</v>
      </c>
      <c r="S150" s="179">
        <f t="shared" si="4"/>
        <v>74.906367041198493</v>
      </c>
      <c r="T150" s="179">
        <f t="shared" si="5"/>
        <v>2.6367041198497532E-2</v>
      </c>
      <c r="U150" s="179"/>
      <c r="V150" s="179" t="s">
        <v>460</v>
      </c>
      <c r="W150" s="179">
        <v>2.5</v>
      </c>
      <c r="X150" s="179">
        <v>3</v>
      </c>
    </row>
    <row r="151" spans="2:24" x14ac:dyDescent="0.3">
      <c r="B151" s="139">
        <v>148</v>
      </c>
      <c r="C151" s="7">
        <v>414</v>
      </c>
      <c r="D151" s="197" t="s">
        <v>737</v>
      </c>
      <c r="E151" s="151" t="s">
        <v>647</v>
      </c>
      <c r="F151" s="196" t="s">
        <v>738</v>
      </c>
      <c r="G151" s="128" t="s">
        <v>458</v>
      </c>
      <c r="H151" s="139">
        <v>4</v>
      </c>
      <c r="I151" s="1">
        <v>2</v>
      </c>
      <c r="J151" s="5">
        <v>0.12820000000000001</v>
      </c>
      <c r="K151" s="8">
        <v>0.1085</v>
      </c>
      <c r="L151" s="128" t="s">
        <v>459</v>
      </c>
      <c r="M151" s="1">
        <v>207</v>
      </c>
      <c r="N151" s="181">
        <v>521.72</v>
      </c>
      <c r="O151" s="186">
        <v>2227.86</v>
      </c>
      <c r="P151" s="150">
        <v>4907.6499999999996</v>
      </c>
      <c r="Q151" s="179">
        <v>1397.66</v>
      </c>
      <c r="R151" s="150">
        <v>1907.76</v>
      </c>
      <c r="S151" s="179">
        <f t="shared" si="4"/>
        <v>1907.8341013824886</v>
      </c>
      <c r="T151" s="179">
        <f t="shared" si="5"/>
        <v>7.410138248860676E-2</v>
      </c>
      <c r="U151" s="179"/>
      <c r="V151" s="179" t="s">
        <v>460</v>
      </c>
      <c r="W151" s="179">
        <v>3.1</v>
      </c>
      <c r="X151" s="179">
        <v>16</v>
      </c>
    </row>
    <row r="152" spans="2:24" x14ac:dyDescent="0.3">
      <c r="B152" s="139">
        <v>149</v>
      </c>
      <c r="C152" s="7">
        <v>419</v>
      </c>
      <c r="D152" s="197" t="s">
        <v>739</v>
      </c>
      <c r="E152" s="151" t="s">
        <v>647</v>
      </c>
      <c r="F152" s="196" t="s">
        <v>740</v>
      </c>
      <c r="G152" s="128" t="s">
        <v>458</v>
      </c>
      <c r="H152" s="2">
        <v>3</v>
      </c>
      <c r="I152" s="1">
        <v>1</v>
      </c>
      <c r="J152" s="5">
        <v>7.8899999999999998E-2</v>
      </c>
      <c r="K152" s="8">
        <v>7.1999999999999995E-2</v>
      </c>
      <c r="L152" s="128" t="s">
        <v>459</v>
      </c>
      <c r="M152" s="1">
        <v>89</v>
      </c>
      <c r="N152" s="181">
        <v>1028.76</v>
      </c>
      <c r="O152" s="186">
        <v>1236.1099999999999</v>
      </c>
      <c r="P152" s="150">
        <v>1474.34</v>
      </c>
      <c r="Q152" s="179">
        <v>131.03</v>
      </c>
      <c r="R152" s="150">
        <v>1236.1099999999999</v>
      </c>
      <c r="S152" s="179">
        <f t="shared" si="4"/>
        <v>1236.1111111111113</v>
      </c>
      <c r="T152" s="179">
        <f t="shared" si="5"/>
        <v>1.1111111114132655E-3</v>
      </c>
      <c r="U152" s="179"/>
      <c r="V152" s="179" t="s">
        <v>460</v>
      </c>
      <c r="W152" s="179" t="s">
        <v>460</v>
      </c>
      <c r="X152" s="179" t="s">
        <v>460</v>
      </c>
    </row>
    <row r="153" spans="2:24" x14ac:dyDescent="0.3">
      <c r="B153" s="139">
        <v>150</v>
      </c>
      <c r="C153" s="7">
        <v>420</v>
      </c>
      <c r="D153" s="197" t="s">
        <v>741</v>
      </c>
      <c r="E153" s="151" t="s">
        <v>647</v>
      </c>
      <c r="F153" s="196" t="s">
        <v>742</v>
      </c>
      <c r="G153" s="128" t="s">
        <v>458</v>
      </c>
      <c r="H153" s="2">
        <v>1</v>
      </c>
      <c r="I153" s="1">
        <v>1</v>
      </c>
      <c r="J153" s="5">
        <v>4.9299999999999997E-2</v>
      </c>
      <c r="K153" s="8">
        <v>3.650402781730662E-2</v>
      </c>
      <c r="L153" s="128" t="s">
        <v>459</v>
      </c>
      <c r="M153" s="1">
        <v>118</v>
      </c>
      <c r="N153" s="181">
        <v>2759.08</v>
      </c>
      <c r="O153" s="186">
        <v>3232.52</v>
      </c>
      <c r="P153" s="150">
        <v>3766.56</v>
      </c>
      <c r="Q153" s="179">
        <v>297.58</v>
      </c>
      <c r="R153" s="150">
        <v>3232.52</v>
      </c>
      <c r="S153" s="179">
        <f t="shared" si="4"/>
        <v>3232.52</v>
      </c>
      <c r="T153" s="179">
        <f t="shared" si="5"/>
        <v>0</v>
      </c>
      <c r="U153" s="185">
        <f>M153/R153</f>
        <v>3.650402781730662E-2</v>
      </c>
      <c r="V153" s="179" t="s">
        <v>460</v>
      </c>
      <c r="W153" s="179">
        <v>3.1</v>
      </c>
      <c r="X153" s="179">
        <v>16</v>
      </c>
    </row>
    <row r="154" spans="2:24" x14ac:dyDescent="0.3">
      <c r="B154" s="139">
        <v>151</v>
      </c>
      <c r="C154" s="7">
        <v>421</v>
      </c>
      <c r="D154" s="197" t="s">
        <v>743</v>
      </c>
      <c r="E154" s="151" t="s">
        <v>647</v>
      </c>
      <c r="F154" s="196" t="s">
        <v>744</v>
      </c>
      <c r="G154" s="128" t="s">
        <v>458</v>
      </c>
      <c r="H154" s="1">
        <v>4</v>
      </c>
      <c r="I154" s="1">
        <v>2</v>
      </c>
      <c r="J154" s="5">
        <v>9.8100000000000007E-2</v>
      </c>
      <c r="K154" s="5">
        <v>9.1157702825888781E-2</v>
      </c>
      <c r="L154" s="128" t="s">
        <v>459</v>
      </c>
      <c r="M154" s="1">
        <v>18</v>
      </c>
      <c r="N154" s="150">
        <v>128.93</v>
      </c>
      <c r="O154" s="186">
        <v>198.83</v>
      </c>
      <c r="P154" s="150">
        <v>281.04000000000002</v>
      </c>
      <c r="Q154" s="179">
        <v>46.54</v>
      </c>
      <c r="R154" s="150">
        <v>197.46</v>
      </c>
      <c r="S154" s="179">
        <f t="shared" si="4"/>
        <v>197.46</v>
      </c>
      <c r="T154" s="179">
        <f t="shared" si="5"/>
        <v>0</v>
      </c>
      <c r="U154" s="185">
        <f>M154/R154</f>
        <v>9.1157702825888781E-2</v>
      </c>
      <c r="V154" s="179" t="s">
        <v>460</v>
      </c>
      <c r="W154" s="150">
        <v>24</v>
      </c>
      <c r="X154" s="205">
        <v>196</v>
      </c>
    </row>
    <row r="155" spans="2:24" x14ac:dyDescent="0.3">
      <c r="B155" s="139">
        <v>152</v>
      </c>
      <c r="C155" s="7">
        <v>424</v>
      </c>
      <c r="D155" s="197" t="s">
        <v>745</v>
      </c>
      <c r="E155" s="151" t="s">
        <v>647</v>
      </c>
      <c r="F155" s="196" t="s">
        <v>746</v>
      </c>
      <c r="G155" s="128" t="s">
        <v>458</v>
      </c>
      <c r="H155" s="2">
        <v>1</v>
      </c>
      <c r="I155" s="1">
        <v>1</v>
      </c>
      <c r="J155" s="5">
        <v>2.4500000000000001E-2</v>
      </c>
      <c r="K155" s="8">
        <v>2.3523876734885908E-2</v>
      </c>
      <c r="L155" s="128" t="s">
        <v>459</v>
      </c>
      <c r="M155" s="1">
        <v>5</v>
      </c>
      <c r="N155" s="181">
        <v>83.74</v>
      </c>
      <c r="O155" s="186">
        <v>212.55</v>
      </c>
      <c r="P155" s="150">
        <v>446.99</v>
      </c>
      <c r="Q155" s="179">
        <v>95.05</v>
      </c>
      <c r="R155" s="150">
        <v>212.55</v>
      </c>
      <c r="S155" s="179">
        <f t="shared" si="4"/>
        <v>212.55</v>
      </c>
      <c r="T155" s="179">
        <f t="shared" si="5"/>
        <v>0</v>
      </c>
      <c r="U155" s="185">
        <f>M155/R155</f>
        <v>2.3523876734885908E-2</v>
      </c>
      <c r="V155" s="179" t="s">
        <v>460</v>
      </c>
      <c r="W155" s="179">
        <v>53</v>
      </c>
      <c r="X155" s="179">
        <v>196</v>
      </c>
    </row>
    <row r="156" spans="2:24" x14ac:dyDescent="0.3">
      <c r="B156" s="139">
        <v>153</v>
      </c>
      <c r="C156" s="7">
        <v>425</v>
      </c>
      <c r="D156" s="197" t="s">
        <v>747</v>
      </c>
      <c r="E156" s="151" t="s">
        <v>647</v>
      </c>
      <c r="F156" s="196" t="s">
        <v>748</v>
      </c>
      <c r="G156" s="128" t="s">
        <v>458</v>
      </c>
      <c r="H156" s="2">
        <v>3</v>
      </c>
      <c r="I156" s="1">
        <v>1</v>
      </c>
      <c r="J156" s="5">
        <v>7.3599999999999999E-2</v>
      </c>
      <c r="K156" s="8">
        <v>6.7599999999999993E-2</v>
      </c>
      <c r="L156" s="128" t="s">
        <v>459</v>
      </c>
      <c r="M156" s="1">
        <v>13</v>
      </c>
      <c r="N156" s="181">
        <v>113.67</v>
      </c>
      <c r="O156" s="186">
        <v>192.22</v>
      </c>
      <c r="P156" s="150">
        <v>305.56</v>
      </c>
      <c r="Q156" s="179">
        <v>53.31</v>
      </c>
      <c r="R156" s="150">
        <v>192.22</v>
      </c>
      <c r="S156" s="179">
        <f t="shared" si="4"/>
        <v>192.30769230769232</v>
      </c>
      <c r="T156" s="179">
        <f t="shared" si="5"/>
        <v>8.7692307692321947E-2</v>
      </c>
      <c r="U156" s="179"/>
      <c r="V156" s="179" t="s">
        <v>460</v>
      </c>
      <c r="W156" s="179">
        <v>12</v>
      </c>
      <c r="X156" s="179">
        <v>29</v>
      </c>
    </row>
    <row r="157" spans="2:24" x14ac:dyDescent="0.3">
      <c r="B157" s="139">
        <v>154</v>
      </c>
      <c r="C157" s="7">
        <v>430</v>
      </c>
      <c r="D157" s="197" t="s">
        <v>749</v>
      </c>
      <c r="E157" s="199" t="s">
        <v>750</v>
      </c>
      <c r="F157" s="198" t="s">
        <v>751</v>
      </c>
      <c r="G157" s="128" t="s">
        <v>458</v>
      </c>
      <c r="H157" s="2">
        <v>918</v>
      </c>
      <c r="I157" s="1">
        <v>20</v>
      </c>
      <c r="J157" s="5">
        <v>29.6981</v>
      </c>
      <c r="K157" s="8">
        <v>28.102599999999999</v>
      </c>
      <c r="L157" s="128" t="s">
        <v>459</v>
      </c>
      <c r="M157" s="1">
        <v>308</v>
      </c>
      <c r="N157" s="181">
        <v>1.1100000000000001</v>
      </c>
      <c r="O157" s="186">
        <v>10.039999999999999</v>
      </c>
      <c r="P157" s="150">
        <v>26.52</v>
      </c>
      <c r="Q157" s="179">
        <v>8.39</v>
      </c>
      <c r="R157" s="150">
        <v>10.96</v>
      </c>
      <c r="S157" s="179">
        <f t="shared" si="4"/>
        <v>10.959840014802902</v>
      </c>
      <c r="T157" s="179">
        <f t="shared" si="5"/>
        <v>1.5998519709903292E-4</v>
      </c>
      <c r="U157" s="179"/>
      <c r="V157" s="179" t="s">
        <v>460</v>
      </c>
      <c r="W157" s="179">
        <v>1.8</v>
      </c>
      <c r="X157" s="179">
        <v>20</v>
      </c>
    </row>
    <row r="158" spans="2:24" x14ac:dyDescent="0.3">
      <c r="B158" s="139">
        <v>155</v>
      </c>
      <c r="C158" s="7">
        <v>434</v>
      </c>
      <c r="D158" s="197" t="s">
        <v>752</v>
      </c>
      <c r="E158" s="199" t="s">
        <v>750</v>
      </c>
      <c r="F158" s="198" t="s">
        <v>753</v>
      </c>
      <c r="G158" s="128" t="s">
        <v>458</v>
      </c>
      <c r="H158" s="2">
        <v>27</v>
      </c>
      <c r="I158" s="1">
        <v>1</v>
      </c>
      <c r="J158" s="5">
        <v>1.6860999999999999</v>
      </c>
      <c r="K158" s="8">
        <v>1.3608</v>
      </c>
      <c r="L158" s="128" t="s">
        <v>459</v>
      </c>
      <c r="M158" s="1">
        <v>9</v>
      </c>
      <c r="N158" s="181">
        <v>3.45</v>
      </c>
      <c r="O158" s="186">
        <v>6.61</v>
      </c>
      <c r="P158" s="150">
        <v>11.54</v>
      </c>
      <c r="Q158" s="179">
        <v>2.2000000000000002</v>
      </c>
      <c r="R158" s="150">
        <v>6.61</v>
      </c>
      <c r="S158" s="179">
        <f t="shared" si="4"/>
        <v>6.6137566137566139</v>
      </c>
      <c r="T158" s="179">
        <f t="shared" si="5"/>
        <v>3.7566137566136248E-3</v>
      </c>
      <c r="U158" s="179"/>
      <c r="V158" s="179" t="s">
        <v>460</v>
      </c>
      <c r="W158" s="179">
        <v>5.7</v>
      </c>
      <c r="X158" s="179">
        <v>6.5</v>
      </c>
    </row>
    <row r="159" spans="2:24" x14ac:dyDescent="0.3">
      <c r="B159" s="139">
        <v>156</v>
      </c>
      <c r="C159" s="7">
        <v>435</v>
      </c>
      <c r="D159" s="197" t="s">
        <v>754</v>
      </c>
      <c r="E159" s="199" t="s">
        <v>750</v>
      </c>
      <c r="F159" s="198" t="s">
        <v>755</v>
      </c>
      <c r="G159" s="128" t="s">
        <v>458</v>
      </c>
      <c r="H159" s="2">
        <v>27</v>
      </c>
      <c r="I159" s="1">
        <v>1</v>
      </c>
      <c r="J159" s="5">
        <v>1.6860999999999999</v>
      </c>
      <c r="K159" s="8">
        <v>1.3608</v>
      </c>
      <c r="L159" s="128" t="s">
        <v>459</v>
      </c>
      <c r="M159" s="1">
        <v>9</v>
      </c>
      <c r="N159" s="181">
        <v>3.45</v>
      </c>
      <c r="O159" s="186">
        <v>6.61</v>
      </c>
      <c r="P159" s="150">
        <v>11.54</v>
      </c>
      <c r="Q159" s="179">
        <v>2.2000000000000002</v>
      </c>
      <c r="R159" s="150">
        <v>6.61</v>
      </c>
      <c r="S159" s="179">
        <f t="shared" si="4"/>
        <v>6.6137566137566139</v>
      </c>
      <c r="T159" s="179">
        <f t="shared" si="5"/>
        <v>3.7566137566136248E-3</v>
      </c>
      <c r="U159" s="179"/>
      <c r="V159" s="179" t="s">
        <v>460</v>
      </c>
      <c r="W159" s="179">
        <v>5.7</v>
      </c>
      <c r="X159" s="179">
        <v>6.5</v>
      </c>
    </row>
    <row r="160" spans="2:24" x14ac:dyDescent="0.3">
      <c r="B160" s="139">
        <v>157</v>
      </c>
      <c r="C160" s="7">
        <v>438</v>
      </c>
      <c r="D160" s="197" t="s">
        <v>756</v>
      </c>
      <c r="E160" s="199" t="s">
        <v>750</v>
      </c>
      <c r="F160" s="198" t="s">
        <v>757</v>
      </c>
      <c r="G160" s="128" t="s">
        <v>458</v>
      </c>
      <c r="H160" s="1">
        <v>542</v>
      </c>
      <c r="I160" s="202">
        <v>13</v>
      </c>
      <c r="J160" s="5">
        <v>16.769200000000001</v>
      </c>
      <c r="K160" s="8">
        <v>16.769200000000001</v>
      </c>
      <c r="L160" s="128" t="s">
        <v>459</v>
      </c>
      <c r="M160" s="1">
        <v>163</v>
      </c>
      <c r="N160" s="179">
        <v>3.82</v>
      </c>
      <c r="O160" s="206">
        <v>11.46</v>
      </c>
      <c r="P160" s="150">
        <v>22.42</v>
      </c>
      <c r="Q160" s="179">
        <v>5.83</v>
      </c>
      <c r="R160" s="150">
        <v>9.7200000000000006</v>
      </c>
      <c r="S160" s="179">
        <f t="shared" si="4"/>
        <v>9.7202013214703129</v>
      </c>
      <c r="T160" s="179">
        <f t="shared" si="5"/>
        <v>2.0132147031226566E-4</v>
      </c>
      <c r="U160" s="179"/>
      <c r="V160" s="179" t="s">
        <v>460</v>
      </c>
      <c r="W160" s="179">
        <v>0.5</v>
      </c>
      <c r="X160" s="179">
        <v>0.5</v>
      </c>
    </row>
    <row r="161" spans="2:24" x14ac:dyDescent="0.3">
      <c r="B161" s="139">
        <v>158</v>
      </c>
      <c r="C161" s="7">
        <v>441</v>
      </c>
      <c r="D161" s="197" t="s">
        <v>758</v>
      </c>
      <c r="E161" s="199" t="s">
        <v>750</v>
      </c>
      <c r="F161" s="198" t="s">
        <v>759</v>
      </c>
      <c r="G161" s="128" t="s">
        <v>458</v>
      </c>
      <c r="H161" s="1">
        <v>542</v>
      </c>
      <c r="I161" s="202">
        <v>13</v>
      </c>
      <c r="J161" s="5">
        <v>16.769200000000001</v>
      </c>
      <c r="K161" s="8">
        <v>16.769200000000001</v>
      </c>
      <c r="L161" s="128" t="s">
        <v>459</v>
      </c>
      <c r="M161" s="1">
        <v>163</v>
      </c>
      <c r="N161" s="179">
        <v>3.82</v>
      </c>
      <c r="O161" s="206">
        <v>11.46</v>
      </c>
      <c r="P161" s="150">
        <v>22.42</v>
      </c>
      <c r="Q161" s="179">
        <v>5.83</v>
      </c>
      <c r="R161" s="150">
        <v>9.7200000000000006</v>
      </c>
      <c r="S161" s="179">
        <f t="shared" si="4"/>
        <v>9.7202013214703129</v>
      </c>
      <c r="T161" s="179">
        <f t="shared" si="5"/>
        <v>2.0132147031226566E-4</v>
      </c>
      <c r="U161" s="179"/>
      <c r="V161" s="179" t="s">
        <v>460</v>
      </c>
      <c r="W161" s="179">
        <v>0.5</v>
      </c>
      <c r="X161" s="179">
        <v>0.5</v>
      </c>
    </row>
    <row r="162" spans="2:24" x14ac:dyDescent="0.3">
      <c r="B162" s="139">
        <v>159</v>
      </c>
      <c r="C162" s="7">
        <v>442</v>
      </c>
      <c r="D162" s="197" t="s">
        <v>760</v>
      </c>
      <c r="E162" s="199" t="s">
        <v>750</v>
      </c>
      <c r="F162" s="198" t="s">
        <v>761</v>
      </c>
      <c r="G162" s="128" t="s">
        <v>458</v>
      </c>
      <c r="H162" s="2">
        <v>23</v>
      </c>
      <c r="I162" s="1">
        <v>1</v>
      </c>
      <c r="J162" s="5">
        <v>0.72319999999999995</v>
      </c>
      <c r="K162" s="8">
        <v>0.70520000000000005</v>
      </c>
      <c r="L162" s="128" t="s">
        <v>459</v>
      </c>
      <c r="M162" s="1">
        <v>0</v>
      </c>
      <c r="N162" s="207">
        <v>3.0000000000000001E-3</v>
      </c>
      <c r="O162" s="186">
        <v>0.66</v>
      </c>
      <c r="P162" s="150">
        <v>2.54</v>
      </c>
      <c r="Q162" s="179">
        <v>0.94</v>
      </c>
      <c r="R162" s="179">
        <v>0</v>
      </c>
      <c r="S162" s="179">
        <f t="shared" si="4"/>
        <v>0</v>
      </c>
      <c r="T162" s="179">
        <f t="shared" si="5"/>
        <v>0</v>
      </c>
      <c r="U162" s="179"/>
      <c r="V162" s="179" t="s">
        <v>460</v>
      </c>
      <c r="W162" s="179" t="s">
        <v>460</v>
      </c>
      <c r="X162" s="179" t="s">
        <v>460</v>
      </c>
    </row>
    <row r="163" spans="2:24" x14ac:dyDescent="0.3">
      <c r="B163" s="139">
        <v>160</v>
      </c>
      <c r="C163" s="7">
        <v>443</v>
      </c>
      <c r="D163" s="197" t="s">
        <v>762</v>
      </c>
      <c r="E163" s="199" t="s">
        <v>750</v>
      </c>
      <c r="F163" s="198" t="s">
        <v>763</v>
      </c>
      <c r="G163" s="128" t="s">
        <v>458</v>
      </c>
      <c r="H163" s="1">
        <v>23</v>
      </c>
      <c r="I163" s="1">
        <v>1</v>
      </c>
      <c r="J163" s="5">
        <v>0.72319999999999995</v>
      </c>
      <c r="K163" s="8">
        <v>0.70520000000000005</v>
      </c>
      <c r="L163" s="128" t="s">
        <v>459</v>
      </c>
      <c r="M163" s="1">
        <v>0</v>
      </c>
      <c r="N163" s="208">
        <v>1E-3</v>
      </c>
      <c r="O163" s="206">
        <v>0.34</v>
      </c>
      <c r="P163" s="150">
        <v>1.31</v>
      </c>
      <c r="Q163" s="179">
        <v>0.48</v>
      </c>
      <c r="R163" s="179">
        <v>0</v>
      </c>
      <c r="S163" s="179">
        <f t="shared" si="4"/>
        <v>0</v>
      </c>
      <c r="T163" s="179">
        <f t="shared" si="5"/>
        <v>0</v>
      </c>
      <c r="U163" s="179"/>
      <c r="V163" s="179" t="s">
        <v>460</v>
      </c>
      <c r="W163" s="179" t="s">
        <v>460</v>
      </c>
      <c r="X163" s="179" t="s">
        <v>460</v>
      </c>
    </row>
    <row r="164" spans="2:24" x14ac:dyDescent="0.3">
      <c r="B164" s="139">
        <v>161</v>
      </c>
      <c r="C164" s="7">
        <v>444</v>
      </c>
      <c r="D164" s="197" t="s">
        <v>764</v>
      </c>
      <c r="E164" s="199" t="s">
        <v>750</v>
      </c>
      <c r="F164" s="198" t="s">
        <v>765</v>
      </c>
      <c r="G164" s="128" t="s">
        <v>458</v>
      </c>
      <c r="H164" s="2">
        <v>222</v>
      </c>
      <c r="I164" s="1">
        <v>6</v>
      </c>
      <c r="J164" s="5">
        <v>7.2637999999999998</v>
      </c>
      <c r="K164" s="8">
        <v>6.0918999999999999</v>
      </c>
      <c r="L164" s="128" t="s">
        <v>459</v>
      </c>
      <c r="M164" s="1">
        <v>123</v>
      </c>
      <c r="N164" s="208">
        <v>5.9999999999999995E-4</v>
      </c>
      <c r="O164" s="186">
        <v>9.0399999999999991</v>
      </c>
      <c r="P164" s="150">
        <v>41.86</v>
      </c>
      <c r="Q164" s="179">
        <v>16.89</v>
      </c>
      <c r="R164" s="150">
        <v>20.190000000000001</v>
      </c>
      <c r="S164" s="179">
        <f t="shared" si="4"/>
        <v>20.190745087739458</v>
      </c>
      <c r="T164" s="179">
        <f t="shared" si="5"/>
        <v>7.4508773945680673E-4</v>
      </c>
      <c r="U164" s="179"/>
      <c r="V164" s="179" t="s">
        <v>460</v>
      </c>
      <c r="W164" s="179">
        <v>3.2</v>
      </c>
      <c r="X164" s="179">
        <v>20</v>
      </c>
    </row>
    <row r="165" spans="2:24" x14ac:dyDescent="0.3">
      <c r="B165" s="139">
        <v>162</v>
      </c>
      <c r="C165" s="7">
        <v>447</v>
      </c>
      <c r="D165" s="197" t="s">
        <v>766</v>
      </c>
      <c r="E165" s="199" t="s">
        <v>750</v>
      </c>
      <c r="F165" s="198" t="s">
        <v>767</v>
      </c>
      <c r="G165" s="128" t="s">
        <v>458</v>
      </c>
      <c r="H165" s="2">
        <v>221</v>
      </c>
      <c r="I165" s="1">
        <v>6</v>
      </c>
      <c r="J165" s="5">
        <v>7.2098000000000004</v>
      </c>
      <c r="K165" s="8">
        <v>6.05</v>
      </c>
      <c r="L165" s="128" t="s">
        <v>459</v>
      </c>
      <c r="M165" s="1">
        <v>122</v>
      </c>
      <c r="N165" s="208">
        <v>5.9999999999999995E-4</v>
      </c>
      <c r="O165" s="186">
        <v>9.06</v>
      </c>
      <c r="P165" s="150">
        <v>41.94</v>
      </c>
      <c r="Q165" s="179">
        <v>16.93</v>
      </c>
      <c r="R165" s="150">
        <v>20.170000000000002</v>
      </c>
      <c r="S165" s="179">
        <f t="shared" si="4"/>
        <v>20.165289256198349</v>
      </c>
      <c r="T165" s="179">
        <f t="shared" si="5"/>
        <v>4.7107438016524839E-3</v>
      </c>
      <c r="U165" s="179"/>
      <c r="V165" s="179" t="s">
        <v>460</v>
      </c>
      <c r="W165" s="179">
        <v>3.2</v>
      </c>
      <c r="X165" s="179">
        <v>20</v>
      </c>
    </row>
    <row r="166" spans="2:24" x14ac:dyDescent="0.3">
      <c r="B166" s="139">
        <v>163</v>
      </c>
      <c r="C166" s="7">
        <v>448</v>
      </c>
      <c r="D166" s="197" t="s">
        <v>768</v>
      </c>
      <c r="E166" s="199" t="s">
        <v>750</v>
      </c>
      <c r="F166" s="198" t="s">
        <v>769</v>
      </c>
      <c r="G166" s="128" t="s">
        <v>458</v>
      </c>
      <c r="H166" s="10">
        <v>1</v>
      </c>
      <c r="I166" s="139">
        <v>1</v>
      </c>
      <c r="J166" s="5">
        <v>5.3999999999999999E-2</v>
      </c>
      <c r="K166" s="8">
        <v>4.2000000000000003E-2</v>
      </c>
      <c r="L166" s="128" t="s">
        <v>459</v>
      </c>
      <c r="M166" s="1">
        <v>1</v>
      </c>
      <c r="N166" s="179">
        <v>1.19</v>
      </c>
      <c r="O166" s="206">
        <v>23.84</v>
      </c>
      <c r="P166" s="150">
        <v>113.11</v>
      </c>
      <c r="Q166" s="179">
        <v>23.84</v>
      </c>
      <c r="R166" s="150">
        <v>23.84</v>
      </c>
      <c r="S166" s="179">
        <f t="shared" si="4"/>
        <v>23.809523809523807</v>
      </c>
      <c r="T166" s="179">
        <f t="shared" si="5"/>
        <v>3.047619047619321E-2</v>
      </c>
      <c r="U166" s="179"/>
      <c r="V166" s="179" t="s">
        <v>460</v>
      </c>
      <c r="W166" s="179">
        <v>2</v>
      </c>
      <c r="X166" s="150">
        <v>2</v>
      </c>
    </row>
    <row r="167" spans="2:24" x14ac:dyDescent="0.3">
      <c r="B167" s="139">
        <v>164</v>
      </c>
      <c r="C167" s="7">
        <v>449</v>
      </c>
      <c r="D167" s="197" t="s">
        <v>770</v>
      </c>
      <c r="E167" s="199" t="s">
        <v>750</v>
      </c>
      <c r="F167" s="198" t="s">
        <v>771</v>
      </c>
      <c r="G167" s="128" t="s">
        <v>458</v>
      </c>
      <c r="H167" s="2">
        <v>104</v>
      </c>
      <c r="I167" s="1">
        <v>2</v>
      </c>
      <c r="J167" s="5">
        <v>3.2559</v>
      </c>
      <c r="K167" s="8">
        <v>3.1755</v>
      </c>
      <c r="L167" s="128" t="s">
        <v>459</v>
      </c>
      <c r="M167" s="1">
        <v>13</v>
      </c>
      <c r="N167" s="181">
        <v>0.64</v>
      </c>
      <c r="O167" s="186">
        <v>3.96</v>
      </c>
      <c r="P167" s="150">
        <v>9.61</v>
      </c>
      <c r="Q167" s="179">
        <v>2.91</v>
      </c>
      <c r="R167" s="150">
        <v>4.09</v>
      </c>
      <c r="S167" s="179">
        <f t="shared" si="4"/>
        <v>4.0938434892142972</v>
      </c>
      <c r="T167" s="179">
        <f t="shared" si="5"/>
        <v>3.8434892142973354E-3</v>
      </c>
      <c r="U167" s="179"/>
      <c r="V167" s="179" t="s">
        <v>460</v>
      </c>
      <c r="W167" s="179">
        <v>5.7</v>
      </c>
      <c r="X167" s="179">
        <v>6</v>
      </c>
    </row>
    <row r="168" spans="2:24" x14ac:dyDescent="0.3">
      <c r="B168" s="139">
        <v>165</v>
      </c>
      <c r="C168" s="7">
        <v>452</v>
      </c>
      <c r="D168" s="197" t="s">
        <v>772</v>
      </c>
      <c r="E168" s="199" t="s">
        <v>750</v>
      </c>
      <c r="F168" s="198" t="s">
        <v>773</v>
      </c>
      <c r="G168" s="128" t="s">
        <v>458</v>
      </c>
      <c r="H168" s="2">
        <v>1</v>
      </c>
      <c r="I168" s="1">
        <v>1</v>
      </c>
      <c r="J168" s="5">
        <v>1.7500000000000002E-2</v>
      </c>
      <c r="K168" s="8">
        <v>1.7500000000000002E-2</v>
      </c>
      <c r="L168" s="128" t="s">
        <v>459</v>
      </c>
      <c r="M168" s="1">
        <v>0</v>
      </c>
      <c r="N168" s="181">
        <v>0.01</v>
      </c>
      <c r="O168" s="186">
        <v>3.48</v>
      </c>
      <c r="P168" s="150">
        <v>13.34</v>
      </c>
      <c r="Q168" s="179">
        <v>4.91</v>
      </c>
      <c r="R168" s="179">
        <v>0</v>
      </c>
      <c r="S168" s="179">
        <f t="shared" si="4"/>
        <v>0</v>
      </c>
      <c r="T168" s="179">
        <f t="shared" si="5"/>
        <v>0</v>
      </c>
      <c r="U168" s="179"/>
      <c r="V168" s="179" t="s">
        <v>460</v>
      </c>
      <c r="W168" s="179" t="s">
        <v>460</v>
      </c>
      <c r="X168" s="179" t="s">
        <v>460</v>
      </c>
    </row>
    <row r="169" spans="2:24" x14ac:dyDescent="0.3">
      <c r="B169" s="139">
        <v>166</v>
      </c>
      <c r="C169" s="7">
        <v>453</v>
      </c>
      <c r="D169" s="197" t="s">
        <v>774</v>
      </c>
      <c r="E169" s="199" t="s">
        <v>750</v>
      </c>
      <c r="F169" s="198" t="s">
        <v>775</v>
      </c>
      <c r="G169" s="128" t="s">
        <v>458</v>
      </c>
      <c r="H169" s="1">
        <v>103</v>
      </c>
      <c r="I169" s="5">
        <v>1</v>
      </c>
      <c r="J169" s="5">
        <v>3.2383000000000002</v>
      </c>
      <c r="K169" s="8">
        <v>3.1579999999999999</v>
      </c>
      <c r="L169" s="128" t="s">
        <v>459</v>
      </c>
      <c r="M169" s="1">
        <v>13</v>
      </c>
      <c r="N169" s="181">
        <v>2.4300000000000002</v>
      </c>
      <c r="O169" s="186">
        <v>4.12</v>
      </c>
      <c r="P169" s="150">
        <v>6.54</v>
      </c>
      <c r="Q169" s="179">
        <v>1.1399999999999999</v>
      </c>
      <c r="R169" s="150">
        <v>4.12</v>
      </c>
      <c r="S169" s="179">
        <f t="shared" si="4"/>
        <v>4.1165294490183664</v>
      </c>
      <c r="T169" s="179">
        <f t="shared" si="5"/>
        <v>3.4705509816337354E-3</v>
      </c>
      <c r="U169" s="179"/>
      <c r="V169" s="179" t="s">
        <v>460</v>
      </c>
      <c r="W169" s="179">
        <v>5.7</v>
      </c>
      <c r="X169" s="179">
        <v>6</v>
      </c>
    </row>
    <row r="170" spans="2:24" x14ac:dyDescent="0.3">
      <c r="B170" s="139">
        <v>167</v>
      </c>
      <c r="C170" s="7">
        <v>457</v>
      </c>
      <c r="D170" s="197" t="s">
        <v>776</v>
      </c>
      <c r="E170" s="199" t="s">
        <v>750</v>
      </c>
      <c r="F170" s="196" t="s">
        <v>777</v>
      </c>
      <c r="G170" s="128" t="s">
        <v>458</v>
      </c>
      <c r="H170" s="1">
        <v>69</v>
      </c>
      <c r="I170" s="5">
        <v>1</v>
      </c>
      <c r="J170" s="5">
        <v>3.3997999999999999</v>
      </c>
      <c r="K170" s="8">
        <v>2.4194</v>
      </c>
      <c r="L170" s="128" t="s">
        <v>459</v>
      </c>
      <c r="M170" s="1">
        <v>16</v>
      </c>
      <c r="N170" s="181">
        <v>4.1500000000000004</v>
      </c>
      <c r="O170" s="186">
        <v>6.61</v>
      </c>
      <c r="P170" s="150">
        <v>10.039999999999999</v>
      </c>
      <c r="Q170" s="179">
        <v>1.65</v>
      </c>
      <c r="R170" s="150">
        <v>6.61</v>
      </c>
      <c r="S170" s="179">
        <f t="shared" si="4"/>
        <v>6.6132098867487805</v>
      </c>
      <c r="T170" s="179">
        <f t="shared" si="5"/>
        <v>3.2098867487801996E-3</v>
      </c>
      <c r="U170" s="179"/>
      <c r="V170" s="179" t="s">
        <v>460</v>
      </c>
      <c r="W170" s="179">
        <v>2.7</v>
      </c>
      <c r="X170" s="179">
        <v>8</v>
      </c>
    </row>
    <row r="171" spans="2:24" x14ac:dyDescent="0.3">
      <c r="B171" s="139">
        <v>168</v>
      </c>
      <c r="C171" s="7">
        <v>459</v>
      </c>
      <c r="D171" s="197" t="s">
        <v>778</v>
      </c>
      <c r="E171" s="199" t="s">
        <v>750</v>
      </c>
      <c r="F171" s="196" t="s">
        <v>779</v>
      </c>
      <c r="G171" s="128" t="s">
        <v>458</v>
      </c>
      <c r="H171" s="2">
        <v>8</v>
      </c>
      <c r="I171" s="1">
        <v>1</v>
      </c>
      <c r="J171" s="5">
        <v>0.39419999999999999</v>
      </c>
      <c r="K171" s="8">
        <v>0.28050000000000003</v>
      </c>
      <c r="L171" s="128" t="s">
        <v>459</v>
      </c>
      <c r="M171" s="1">
        <v>4</v>
      </c>
      <c r="N171" s="181">
        <v>4.87</v>
      </c>
      <c r="O171" s="186">
        <v>14.26</v>
      </c>
      <c r="P171" s="150">
        <v>32.64</v>
      </c>
      <c r="Q171" s="179">
        <v>7.13</v>
      </c>
      <c r="R171" s="150">
        <v>14.26</v>
      </c>
      <c r="S171" s="179">
        <f t="shared" si="4"/>
        <v>14.260249554367199</v>
      </c>
      <c r="T171" s="179">
        <f t="shared" si="5"/>
        <v>2.495543671994227E-4</v>
      </c>
      <c r="U171" s="179"/>
      <c r="V171" s="179" t="s">
        <v>460</v>
      </c>
      <c r="W171" s="179">
        <v>2</v>
      </c>
      <c r="X171" s="179">
        <v>3</v>
      </c>
    </row>
    <row r="172" spans="2:24" x14ac:dyDescent="0.3">
      <c r="B172" s="139">
        <v>169</v>
      </c>
      <c r="C172" s="7">
        <v>461</v>
      </c>
      <c r="D172" s="197" t="s">
        <v>780</v>
      </c>
      <c r="E172" s="199" t="s">
        <v>750</v>
      </c>
      <c r="F172" s="196" t="s">
        <v>781</v>
      </c>
      <c r="G172" s="128" t="s">
        <v>458</v>
      </c>
      <c r="H172" s="2">
        <v>2</v>
      </c>
      <c r="I172" s="1">
        <v>1</v>
      </c>
      <c r="J172" s="5">
        <v>9.8500000000000004E-2</v>
      </c>
      <c r="K172" s="8">
        <v>7.0099999999999996E-2</v>
      </c>
      <c r="L172" s="128" t="s">
        <v>459</v>
      </c>
      <c r="M172" s="1">
        <v>0</v>
      </c>
      <c r="N172" s="181">
        <v>0.02</v>
      </c>
      <c r="O172" s="186">
        <v>4.75</v>
      </c>
      <c r="P172" s="150">
        <v>18.25</v>
      </c>
      <c r="Q172" s="179">
        <v>6.72</v>
      </c>
      <c r="R172" s="179">
        <v>0</v>
      </c>
      <c r="S172" s="179">
        <f t="shared" si="4"/>
        <v>0</v>
      </c>
      <c r="T172" s="179">
        <f t="shared" si="5"/>
        <v>0</v>
      </c>
      <c r="U172" s="179"/>
      <c r="V172" s="179" t="s">
        <v>460</v>
      </c>
      <c r="W172" s="179" t="s">
        <v>460</v>
      </c>
      <c r="X172" s="179" t="s">
        <v>460</v>
      </c>
    </row>
    <row r="173" spans="2:24" x14ac:dyDescent="0.3">
      <c r="B173" s="139">
        <v>170</v>
      </c>
      <c r="C173" s="7">
        <v>462</v>
      </c>
      <c r="D173" s="197" t="s">
        <v>782</v>
      </c>
      <c r="E173" s="199" t="s">
        <v>750</v>
      </c>
      <c r="F173" s="196" t="s">
        <v>783</v>
      </c>
      <c r="G173" s="95" t="s">
        <v>458</v>
      </c>
      <c r="H173" s="1">
        <v>6</v>
      </c>
      <c r="I173" s="5">
        <v>1</v>
      </c>
      <c r="J173" s="5">
        <v>0.29559999999999997</v>
      </c>
      <c r="K173" s="5">
        <v>0.2104</v>
      </c>
      <c r="L173" s="95" t="s">
        <v>459</v>
      </c>
      <c r="M173" s="1">
        <v>4</v>
      </c>
      <c r="N173" s="181">
        <v>6.49</v>
      </c>
      <c r="O173" s="186">
        <v>19.010000000000002</v>
      </c>
      <c r="P173" s="150">
        <v>43.52</v>
      </c>
      <c r="Q173" s="150">
        <v>9.51</v>
      </c>
      <c r="R173" s="150">
        <v>19.010000000000002</v>
      </c>
      <c r="S173" s="179">
        <f t="shared" si="4"/>
        <v>19.011406844106464</v>
      </c>
      <c r="T173" s="179">
        <f t="shared" si="5"/>
        <v>1.4068441064623016E-3</v>
      </c>
      <c r="U173" s="179"/>
      <c r="V173" s="150" t="s">
        <v>460</v>
      </c>
      <c r="W173" s="150">
        <v>2</v>
      </c>
      <c r="X173" s="150">
        <v>3</v>
      </c>
    </row>
    <row r="174" spans="2:24" x14ac:dyDescent="0.3">
      <c r="B174" s="139">
        <v>171</v>
      </c>
      <c r="C174" s="139">
        <v>463</v>
      </c>
      <c r="D174" s="197" t="s">
        <v>784</v>
      </c>
      <c r="E174" s="199" t="s">
        <v>750</v>
      </c>
      <c r="F174" s="196" t="s">
        <v>785</v>
      </c>
      <c r="G174" s="95" t="s">
        <v>458</v>
      </c>
      <c r="H174" s="139">
        <v>16</v>
      </c>
      <c r="I174" s="139">
        <v>1</v>
      </c>
      <c r="J174" s="139">
        <v>0.72840000000000005</v>
      </c>
      <c r="K174" s="139">
        <v>0.56100000000000005</v>
      </c>
      <c r="L174" s="95" t="s">
        <v>459</v>
      </c>
      <c r="M174" s="139">
        <v>6</v>
      </c>
      <c r="N174" s="139">
        <v>4.66</v>
      </c>
      <c r="O174" s="209">
        <v>10.69</v>
      </c>
      <c r="P174" s="139">
        <v>21.1</v>
      </c>
      <c r="Q174" s="139">
        <v>4.37</v>
      </c>
      <c r="R174" s="139">
        <v>10.69</v>
      </c>
      <c r="S174" s="179">
        <f t="shared" si="4"/>
        <v>10.695187165775399</v>
      </c>
      <c r="T174" s="179">
        <f t="shared" si="5"/>
        <v>5.1871657753999045E-3</v>
      </c>
      <c r="U174" s="179"/>
      <c r="V174" s="150" t="s">
        <v>460</v>
      </c>
      <c r="W174" s="139">
        <v>2.2999999999999998</v>
      </c>
      <c r="X174" s="139">
        <v>4</v>
      </c>
    </row>
    <row r="175" spans="2:24" x14ac:dyDescent="0.3">
      <c r="B175" s="139">
        <v>172</v>
      </c>
      <c r="C175" s="139">
        <v>465</v>
      </c>
      <c r="D175" s="197" t="s">
        <v>786</v>
      </c>
      <c r="E175" s="199" t="s">
        <v>750</v>
      </c>
      <c r="F175" s="196" t="s">
        <v>787</v>
      </c>
      <c r="G175" s="95" t="s">
        <v>458</v>
      </c>
      <c r="H175" s="139">
        <v>9</v>
      </c>
      <c r="I175" s="139">
        <v>1</v>
      </c>
      <c r="J175" s="139">
        <v>0.44340000000000002</v>
      </c>
      <c r="K175" s="139">
        <v>0.31559999999999999</v>
      </c>
      <c r="L175" s="95" t="s">
        <v>459</v>
      </c>
      <c r="M175" s="139">
        <v>3</v>
      </c>
      <c r="N175" s="139">
        <v>2.6</v>
      </c>
      <c r="O175" s="209">
        <v>9.51</v>
      </c>
      <c r="P175" s="139">
        <v>24.57</v>
      </c>
      <c r="Q175" s="139">
        <v>5.49</v>
      </c>
      <c r="R175" s="139">
        <v>9.51</v>
      </c>
      <c r="S175" s="179">
        <f t="shared" si="4"/>
        <v>9.5057034220532319</v>
      </c>
      <c r="T175" s="179">
        <f t="shared" si="5"/>
        <v>4.2965779467678544E-3</v>
      </c>
      <c r="U175" s="179"/>
      <c r="V175" s="150" t="s">
        <v>460</v>
      </c>
      <c r="W175" s="139">
        <v>2.2999999999999998</v>
      </c>
      <c r="X175" s="139">
        <v>4</v>
      </c>
    </row>
    <row r="176" spans="2:24" x14ac:dyDescent="0.3">
      <c r="B176" s="139">
        <v>173</v>
      </c>
      <c r="C176" s="139">
        <v>466</v>
      </c>
      <c r="D176" s="197" t="s">
        <v>788</v>
      </c>
      <c r="E176" s="199" t="s">
        <v>750</v>
      </c>
      <c r="F176" s="196" t="s">
        <v>789</v>
      </c>
      <c r="G176" s="95" t="s">
        <v>458</v>
      </c>
      <c r="H176" s="139">
        <v>7</v>
      </c>
      <c r="I176" s="139">
        <v>1</v>
      </c>
      <c r="J176" s="139">
        <v>0.34489999999999998</v>
      </c>
      <c r="K176" s="139">
        <v>0.24540000000000001</v>
      </c>
      <c r="L176" s="95" t="s">
        <v>459</v>
      </c>
      <c r="M176" s="139">
        <v>3</v>
      </c>
      <c r="N176" s="139">
        <v>3.34</v>
      </c>
      <c r="O176" s="209">
        <v>12.22</v>
      </c>
      <c r="P176" s="139">
        <v>31.6</v>
      </c>
      <c r="Q176" s="139">
        <v>7.06</v>
      </c>
      <c r="R176" s="139">
        <v>12.22</v>
      </c>
      <c r="S176" s="179">
        <f t="shared" si="4"/>
        <v>12.224938875305623</v>
      </c>
      <c r="T176" s="179">
        <f t="shared" si="5"/>
        <v>4.9388753056227586E-3</v>
      </c>
      <c r="U176" s="179"/>
      <c r="V176" s="150" t="s">
        <v>460</v>
      </c>
      <c r="W176" s="139">
        <v>2.2999999999999998</v>
      </c>
      <c r="X176" s="139">
        <v>3.6</v>
      </c>
    </row>
    <row r="177" spans="2:24" x14ac:dyDescent="0.3">
      <c r="B177" s="139">
        <v>174</v>
      </c>
      <c r="C177" s="139">
        <v>467</v>
      </c>
      <c r="D177" s="197" t="s">
        <v>790</v>
      </c>
      <c r="E177" s="199" t="s">
        <v>750</v>
      </c>
      <c r="F177" s="196" t="s">
        <v>791</v>
      </c>
      <c r="G177" s="95" t="s">
        <v>458</v>
      </c>
      <c r="H177" s="139">
        <v>32</v>
      </c>
      <c r="I177" s="139">
        <v>1</v>
      </c>
      <c r="J177" s="139">
        <v>1.5767</v>
      </c>
      <c r="K177" s="139">
        <v>1.1220000000000001</v>
      </c>
      <c r="L177" s="95" t="s">
        <v>459</v>
      </c>
      <c r="M177" s="139">
        <v>0</v>
      </c>
      <c r="N177" s="210">
        <v>2E-3</v>
      </c>
      <c r="O177" s="209">
        <v>0.42</v>
      </c>
      <c r="P177" s="139">
        <v>1.6</v>
      </c>
      <c r="Q177" s="139">
        <v>0.59</v>
      </c>
      <c r="R177" s="150">
        <v>0</v>
      </c>
      <c r="S177" s="179">
        <f t="shared" si="4"/>
        <v>0</v>
      </c>
      <c r="T177" s="179">
        <f t="shared" si="5"/>
        <v>0</v>
      </c>
      <c r="U177" s="179"/>
      <c r="V177" s="150" t="s">
        <v>460</v>
      </c>
      <c r="W177" s="150" t="s">
        <v>460</v>
      </c>
      <c r="X177" s="150" t="s">
        <v>460</v>
      </c>
    </row>
    <row r="178" spans="2:24" x14ac:dyDescent="0.3">
      <c r="B178" s="139">
        <v>175</v>
      </c>
      <c r="C178" s="139">
        <v>468</v>
      </c>
      <c r="D178" s="197" t="s">
        <v>792</v>
      </c>
      <c r="E178" s="199" t="s">
        <v>750</v>
      </c>
      <c r="F178" s="196" t="s">
        <v>793</v>
      </c>
      <c r="G178" s="95" t="s">
        <v>458</v>
      </c>
      <c r="H178" s="139">
        <v>7</v>
      </c>
      <c r="I178" s="139">
        <v>1</v>
      </c>
      <c r="J178" s="139">
        <v>0.34489999999999998</v>
      </c>
      <c r="K178" s="139">
        <v>0.24540000000000001</v>
      </c>
      <c r="L178" s="95" t="s">
        <v>459</v>
      </c>
      <c r="M178" s="139">
        <v>0</v>
      </c>
      <c r="N178" s="210">
        <v>1E-3</v>
      </c>
      <c r="O178" s="209">
        <v>0.35</v>
      </c>
      <c r="P178" s="7">
        <v>1.33</v>
      </c>
      <c r="Q178" s="7">
        <v>0.49</v>
      </c>
      <c r="R178" s="150">
        <v>0</v>
      </c>
      <c r="S178" s="179">
        <f t="shared" si="4"/>
        <v>0</v>
      </c>
      <c r="T178" s="179">
        <f t="shared" si="5"/>
        <v>0</v>
      </c>
      <c r="U178" s="179"/>
      <c r="V178" s="150" t="s">
        <v>460</v>
      </c>
      <c r="W178" s="150" t="s">
        <v>460</v>
      </c>
      <c r="X178" s="150" t="s">
        <v>460</v>
      </c>
    </row>
    <row r="179" spans="2:24" x14ac:dyDescent="0.3">
      <c r="B179" s="139">
        <v>176</v>
      </c>
      <c r="C179" s="139">
        <v>469</v>
      </c>
      <c r="D179" s="197" t="s">
        <v>794</v>
      </c>
      <c r="E179" s="199" t="s">
        <v>750</v>
      </c>
      <c r="F179" s="196" t="s">
        <v>795</v>
      </c>
      <c r="G179" s="95" t="s">
        <v>458</v>
      </c>
      <c r="H179" s="139">
        <v>23</v>
      </c>
      <c r="I179" s="139">
        <v>1</v>
      </c>
      <c r="J179" s="139">
        <v>1.1333</v>
      </c>
      <c r="K179" s="139">
        <v>0.80649999999999999</v>
      </c>
      <c r="L179" s="95" t="s">
        <v>459</v>
      </c>
      <c r="M179" s="139">
        <v>0</v>
      </c>
      <c r="N179" s="210">
        <v>1E-3</v>
      </c>
      <c r="O179" s="209">
        <v>0.25</v>
      </c>
      <c r="P179" s="7">
        <v>0.96</v>
      </c>
      <c r="Q179" s="7">
        <v>0.35</v>
      </c>
      <c r="R179" s="150">
        <v>0</v>
      </c>
      <c r="S179" s="179">
        <f t="shared" si="4"/>
        <v>0</v>
      </c>
      <c r="T179" s="179">
        <f t="shared" si="5"/>
        <v>0</v>
      </c>
      <c r="U179" s="179"/>
      <c r="V179" s="150" t="s">
        <v>460</v>
      </c>
      <c r="W179" s="150" t="s">
        <v>460</v>
      </c>
      <c r="X179" s="150" t="s">
        <v>460</v>
      </c>
    </row>
    <row r="180" spans="2:24" x14ac:dyDescent="0.3">
      <c r="B180" s="139">
        <v>177</v>
      </c>
      <c r="C180" s="139">
        <v>470</v>
      </c>
      <c r="D180" s="139" t="s">
        <v>796</v>
      </c>
      <c r="E180" s="199" t="s">
        <v>750</v>
      </c>
      <c r="F180" s="196" t="s">
        <v>797</v>
      </c>
      <c r="G180" s="95" t="s">
        <v>458</v>
      </c>
      <c r="H180" s="139">
        <v>1</v>
      </c>
      <c r="I180" s="139">
        <v>1</v>
      </c>
      <c r="J180" s="139">
        <v>4.9299999999999997E-2</v>
      </c>
      <c r="K180" s="139">
        <v>3.5099999999999999E-2</v>
      </c>
      <c r="L180" s="95" t="s">
        <v>459</v>
      </c>
      <c r="M180" s="139">
        <v>0</v>
      </c>
      <c r="N180" s="139">
        <v>0</v>
      </c>
      <c r="O180" s="211">
        <v>2E-3</v>
      </c>
      <c r="P180" s="7">
        <v>0.41</v>
      </c>
      <c r="Q180" s="7">
        <v>1.56</v>
      </c>
      <c r="R180" s="139">
        <v>0.56999999999999995</v>
      </c>
      <c r="S180" s="179">
        <f t="shared" si="4"/>
        <v>0</v>
      </c>
      <c r="T180" s="179">
        <f t="shared" si="5"/>
        <v>0.56999999999999995</v>
      </c>
      <c r="U180" s="179"/>
      <c r="V180" s="150" t="s">
        <v>460</v>
      </c>
      <c r="W180" s="150" t="s">
        <v>460</v>
      </c>
      <c r="X180" s="150" t="s">
        <v>460</v>
      </c>
    </row>
    <row r="181" spans="2:24" x14ac:dyDescent="0.3">
      <c r="B181" s="139">
        <v>178</v>
      </c>
      <c r="C181" s="139">
        <v>471</v>
      </c>
      <c r="D181" s="139" t="s">
        <v>798</v>
      </c>
      <c r="E181" s="199" t="s">
        <v>750</v>
      </c>
      <c r="F181" s="196" t="s">
        <v>799</v>
      </c>
      <c r="G181" s="95" t="s">
        <v>458</v>
      </c>
      <c r="H181" s="139">
        <v>1</v>
      </c>
      <c r="I181" s="139">
        <v>1</v>
      </c>
      <c r="J181" s="139">
        <v>4.9299999999999997E-2</v>
      </c>
      <c r="K181" s="139">
        <v>3.5099999999999999E-2</v>
      </c>
      <c r="L181" s="95" t="s">
        <v>459</v>
      </c>
      <c r="M181" s="139">
        <v>0</v>
      </c>
      <c r="N181" s="139">
        <v>0</v>
      </c>
      <c r="O181" s="211">
        <v>2E-3</v>
      </c>
      <c r="P181" s="7">
        <v>0.41</v>
      </c>
      <c r="Q181" s="7">
        <v>1.56</v>
      </c>
      <c r="R181" s="139">
        <v>0.56999999999999995</v>
      </c>
      <c r="S181" s="179">
        <f t="shared" si="4"/>
        <v>0</v>
      </c>
      <c r="T181" s="179">
        <f t="shared" si="5"/>
        <v>0.56999999999999995</v>
      </c>
      <c r="U181" s="179"/>
      <c r="V181" s="150" t="s">
        <v>460</v>
      </c>
      <c r="W181" s="150" t="s">
        <v>460</v>
      </c>
      <c r="X181" s="150" t="s">
        <v>460</v>
      </c>
    </row>
    <row r="182" spans="2:24" x14ac:dyDescent="0.3">
      <c r="B182" s="139">
        <v>179</v>
      </c>
      <c r="C182" s="139">
        <v>472</v>
      </c>
      <c r="D182" s="139" t="s">
        <v>800</v>
      </c>
      <c r="E182" s="199" t="s">
        <v>750</v>
      </c>
      <c r="F182" s="196" t="s">
        <v>801</v>
      </c>
      <c r="G182" s="95" t="s">
        <v>458</v>
      </c>
      <c r="H182" s="139">
        <v>13</v>
      </c>
      <c r="I182" s="139">
        <v>1</v>
      </c>
      <c r="J182" s="139">
        <v>0.64049999999999996</v>
      </c>
      <c r="K182" s="139">
        <v>0.45579999999999998</v>
      </c>
      <c r="L182" s="95" t="s">
        <v>459</v>
      </c>
      <c r="M182" s="139">
        <v>6</v>
      </c>
      <c r="N182" s="139">
        <v>5.74</v>
      </c>
      <c r="O182" s="152">
        <v>13.16</v>
      </c>
      <c r="P182" s="7">
        <v>25.97</v>
      </c>
      <c r="Q182" s="7">
        <v>5.37</v>
      </c>
      <c r="R182" s="139">
        <v>13.16</v>
      </c>
      <c r="S182" s="179">
        <f t="shared" si="4"/>
        <v>13.163668275559456</v>
      </c>
      <c r="T182" s="179">
        <f t="shared" si="5"/>
        <v>3.6682755594554806E-3</v>
      </c>
      <c r="U182" s="179"/>
      <c r="V182" s="150" t="s">
        <v>460</v>
      </c>
      <c r="W182" s="139">
        <v>3.5</v>
      </c>
      <c r="X182" s="139">
        <v>8</v>
      </c>
    </row>
    <row r="183" spans="2:24" x14ac:dyDescent="0.3">
      <c r="B183" s="139">
        <v>180</v>
      </c>
      <c r="C183" s="139">
        <v>474</v>
      </c>
      <c r="D183" s="139" t="s">
        <v>802</v>
      </c>
      <c r="E183" s="199" t="s">
        <v>750</v>
      </c>
      <c r="F183" s="196" t="s">
        <v>803</v>
      </c>
      <c r="G183" s="95" t="s">
        <v>458</v>
      </c>
      <c r="H183" s="139">
        <v>1</v>
      </c>
      <c r="I183" s="139">
        <v>1</v>
      </c>
      <c r="J183" s="139">
        <v>4.9299999999999997E-2</v>
      </c>
      <c r="K183" s="139">
        <v>3.5099999999999999E-2</v>
      </c>
      <c r="L183" s="95" t="s">
        <v>459</v>
      </c>
      <c r="M183" s="139">
        <v>0</v>
      </c>
      <c r="N183" s="139">
        <v>0.03</v>
      </c>
      <c r="O183" s="152">
        <v>6.84</v>
      </c>
      <c r="P183" s="7">
        <v>26.28</v>
      </c>
      <c r="Q183" s="7">
        <v>9.68</v>
      </c>
      <c r="R183" s="150">
        <v>0</v>
      </c>
      <c r="S183" s="179">
        <f t="shared" si="4"/>
        <v>0</v>
      </c>
      <c r="T183" s="179">
        <f t="shared" si="5"/>
        <v>0</v>
      </c>
      <c r="U183" s="179"/>
      <c r="V183" s="150" t="s">
        <v>460</v>
      </c>
      <c r="W183" s="150" t="s">
        <v>460</v>
      </c>
      <c r="X183" s="150" t="s">
        <v>460</v>
      </c>
    </row>
    <row r="184" spans="2:24" x14ac:dyDescent="0.3">
      <c r="B184" s="139">
        <v>181</v>
      </c>
      <c r="C184" s="139">
        <v>475</v>
      </c>
      <c r="D184" s="139" t="s">
        <v>804</v>
      </c>
      <c r="E184" s="199" t="s">
        <v>750</v>
      </c>
      <c r="F184" s="196" t="s">
        <v>805</v>
      </c>
      <c r="G184" s="95" t="s">
        <v>458</v>
      </c>
      <c r="H184" s="139">
        <v>2</v>
      </c>
      <c r="I184" s="139">
        <v>1</v>
      </c>
      <c r="J184" s="139">
        <v>9.8500000000000004E-2</v>
      </c>
      <c r="K184" s="139">
        <v>7.0099999999999996E-2</v>
      </c>
      <c r="L184" s="95" t="s">
        <v>459</v>
      </c>
      <c r="M184" s="139">
        <v>3</v>
      </c>
      <c r="N184" s="7">
        <v>11.69</v>
      </c>
      <c r="O184" s="152">
        <v>42.78</v>
      </c>
      <c r="P184" s="7">
        <v>110.58</v>
      </c>
      <c r="Q184" s="7">
        <v>24.7</v>
      </c>
      <c r="R184" s="139">
        <v>42.78</v>
      </c>
      <c r="S184" s="179">
        <f t="shared" si="4"/>
        <v>42.796005706134096</v>
      </c>
      <c r="T184" s="179">
        <f t="shared" si="5"/>
        <v>1.6005706134095021E-2</v>
      </c>
      <c r="U184" s="179"/>
      <c r="V184" s="150" t="s">
        <v>460</v>
      </c>
      <c r="W184" s="139">
        <v>4.7</v>
      </c>
      <c r="X184" s="139">
        <v>8</v>
      </c>
    </row>
    <row r="185" spans="2:24" x14ac:dyDescent="0.3">
      <c r="B185" s="139">
        <v>182</v>
      </c>
      <c r="C185" s="139">
        <v>476</v>
      </c>
      <c r="D185" s="139" t="s">
        <v>806</v>
      </c>
      <c r="E185" s="199" t="s">
        <v>750</v>
      </c>
      <c r="F185" s="196" t="s">
        <v>807</v>
      </c>
      <c r="G185" s="95" t="s">
        <v>458</v>
      </c>
      <c r="H185" s="139">
        <v>10</v>
      </c>
      <c r="I185" s="139">
        <v>1</v>
      </c>
      <c r="J185" s="139">
        <v>0.49270000000000003</v>
      </c>
      <c r="K185" s="139">
        <v>0.35060000000000002</v>
      </c>
      <c r="L185" s="95" t="s">
        <v>459</v>
      </c>
      <c r="M185" s="139">
        <v>3</v>
      </c>
      <c r="N185" s="7">
        <v>2.34</v>
      </c>
      <c r="O185" s="152">
        <v>8.56</v>
      </c>
      <c r="P185" s="7">
        <v>22.12</v>
      </c>
      <c r="Q185" s="7">
        <v>4.9400000000000004</v>
      </c>
      <c r="R185" s="139">
        <v>8.56</v>
      </c>
      <c r="S185" s="179">
        <f t="shared" si="4"/>
        <v>8.5567598402738163</v>
      </c>
      <c r="T185" s="179">
        <f t="shared" si="5"/>
        <v>3.2401597261841886E-3</v>
      </c>
      <c r="U185" s="179"/>
      <c r="V185" s="150" t="s">
        <v>460</v>
      </c>
      <c r="W185" s="139">
        <v>2.2999999999999998</v>
      </c>
      <c r="X185" s="139">
        <v>2.5</v>
      </c>
    </row>
    <row r="186" spans="2:24" x14ac:dyDescent="0.3">
      <c r="B186" s="139">
        <v>183</v>
      </c>
      <c r="C186" s="139">
        <v>479</v>
      </c>
      <c r="D186" s="139" t="s">
        <v>808</v>
      </c>
      <c r="E186" s="151" t="s">
        <v>809</v>
      </c>
      <c r="F186" s="196" t="s">
        <v>810</v>
      </c>
      <c r="G186" s="95" t="s">
        <v>458</v>
      </c>
      <c r="H186" s="139">
        <v>10</v>
      </c>
      <c r="I186" s="139">
        <v>2</v>
      </c>
      <c r="J186" s="139">
        <v>0.1754</v>
      </c>
      <c r="K186" s="139">
        <v>0.17519999999999999</v>
      </c>
      <c r="L186" s="95" t="s">
        <v>459</v>
      </c>
      <c r="M186" s="139">
        <v>4</v>
      </c>
      <c r="N186" s="7">
        <v>5.89</v>
      </c>
      <c r="O186" s="152">
        <v>24.71</v>
      </c>
      <c r="P186" s="7">
        <v>54.16</v>
      </c>
      <c r="Q186" s="7">
        <v>15.38</v>
      </c>
      <c r="R186" s="139">
        <v>22.83</v>
      </c>
      <c r="S186" s="179">
        <f t="shared" si="4"/>
        <v>22.831050228310502</v>
      </c>
      <c r="T186" s="179">
        <f t="shared" si="5"/>
        <v>1.0502283105040533E-3</v>
      </c>
      <c r="U186" s="179"/>
      <c r="V186" s="150" t="s">
        <v>460</v>
      </c>
      <c r="W186" s="139">
        <v>1</v>
      </c>
      <c r="X186" s="139">
        <v>1</v>
      </c>
    </row>
    <row r="187" spans="2:24" x14ac:dyDescent="0.3">
      <c r="B187" s="139">
        <v>184</v>
      </c>
      <c r="C187" s="139">
        <v>481</v>
      </c>
      <c r="D187" s="139" t="s">
        <v>811</v>
      </c>
      <c r="E187" s="151" t="s">
        <v>809</v>
      </c>
      <c r="F187" s="196" t="s">
        <v>812</v>
      </c>
      <c r="G187" s="95" t="s">
        <v>458</v>
      </c>
      <c r="H187" s="139">
        <v>2</v>
      </c>
      <c r="I187" s="139">
        <v>1</v>
      </c>
      <c r="J187" s="139">
        <v>3.5099999999999999E-2</v>
      </c>
      <c r="K187" s="139">
        <v>3.5000000000000003E-2</v>
      </c>
      <c r="L187" s="95" t="s">
        <v>459</v>
      </c>
      <c r="M187" s="139">
        <v>1</v>
      </c>
      <c r="N187" s="7">
        <v>1.43</v>
      </c>
      <c r="O187" s="152">
        <v>28.54</v>
      </c>
      <c r="P187" s="7">
        <v>135.41999999999999</v>
      </c>
      <c r="Q187" s="7">
        <v>28.54</v>
      </c>
      <c r="R187" s="139">
        <v>28.54</v>
      </c>
      <c r="S187" s="179">
        <f t="shared" si="4"/>
        <v>28.571428571428569</v>
      </c>
      <c r="T187" s="179">
        <f t="shared" si="5"/>
        <v>3.1428571428570251E-2</v>
      </c>
      <c r="U187" s="179"/>
      <c r="V187" s="150" t="s">
        <v>460</v>
      </c>
      <c r="W187" s="150" t="s">
        <v>460</v>
      </c>
      <c r="X187" s="150" t="s">
        <v>460</v>
      </c>
    </row>
    <row r="188" spans="2:24" x14ac:dyDescent="0.3">
      <c r="B188" s="139">
        <v>185</v>
      </c>
      <c r="C188" s="139">
        <v>483</v>
      </c>
      <c r="D188" s="139" t="s">
        <v>813</v>
      </c>
      <c r="E188" s="151" t="s">
        <v>809</v>
      </c>
      <c r="F188" s="196" t="s">
        <v>814</v>
      </c>
      <c r="G188" s="95" t="s">
        <v>458</v>
      </c>
      <c r="H188" s="139">
        <v>2</v>
      </c>
      <c r="I188" s="139">
        <v>1</v>
      </c>
      <c r="J188" s="139">
        <v>3.5099999999999999E-2</v>
      </c>
      <c r="K188" s="139">
        <v>3.5000000000000003E-2</v>
      </c>
      <c r="L188" s="95" t="s">
        <v>459</v>
      </c>
      <c r="M188" s="139">
        <v>1</v>
      </c>
      <c r="N188" s="7">
        <v>1.43</v>
      </c>
      <c r="O188" s="152">
        <v>28.54</v>
      </c>
      <c r="P188" s="7">
        <v>135.41999999999999</v>
      </c>
      <c r="Q188" s="7">
        <v>28.54</v>
      </c>
      <c r="R188" s="139">
        <v>28.54</v>
      </c>
      <c r="S188" s="179">
        <f t="shared" si="4"/>
        <v>28.571428571428569</v>
      </c>
      <c r="T188" s="179">
        <f t="shared" si="5"/>
        <v>3.1428571428570251E-2</v>
      </c>
      <c r="U188" s="179"/>
      <c r="V188" s="150" t="s">
        <v>460</v>
      </c>
      <c r="W188" s="150" t="s">
        <v>460</v>
      </c>
      <c r="X188" s="150" t="s">
        <v>460</v>
      </c>
    </row>
    <row r="189" spans="2:24" x14ac:dyDescent="0.3">
      <c r="B189" s="139">
        <v>186</v>
      </c>
      <c r="C189" s="139">
        <v>484</v>
      </c>
      <c r="D189" s="139" t="s">
        <v>815</v>
      </c>
      <c r="E189" s="151" t="s">
        <v>809</v>
      </c>
      <c r="F189" s="196" t="s">
        <v>816</v>
      </c>
      <c r="G189" s="95" t="s">
        <v>458</v>
      </c>
      <c r="H189" s="139">
        <v>1</v>
      </c>
      <c r="I189" s="139">
        <v>1</v>
      </c>
      <c r="J189" s="139">
        <v>1.7500000000000002E-2</v>
      </c>
      <c r="K189" s="139">
        <v>1.7500000000000002E-2</v>
      </c>
      <c r="L189" s="95" t="s">
        <v>459</v>
      </c>
      <c r="M189" s="139">
        <v>1</v>
      </c>
      <c r="N189" s="7">
        <v>2.85</v>
      </c>
      <c r="O189" s="152">
        <v>57.08</v>
      </c>
      <c r="P189" s="7">
        <v>270.83</v>
      </c>
      <c r="Q189" s="7">
        <v>57.08</v>
      </c>
      <c r="R189" s="139">
        <v>57.08</v>
      </c>
      <c r="S189" s="179">
        <f t="shared" si="4"/>
        <v>57.142857142857139</v>
      </c>
      <c r="T189" s="179">
        <f t="shared" si="5"/>
        <v>6.2857142857140502E-2</v>
      </c>
      <c r="U189" s="179"/>
      <c r="V189" s="150" t="s">
        <v>460</v>
      </c>
      <c r="W189" s="150" t="s">
        <v>460</v>
      </c>
      <c r="X189" s="150" t="s">
        <v>460</v>
      </c>
    </row>
    <row r="190" spans="2:24" x14ac:dyDescent="0.3">
      <c r="B190" s="139">
        <v>187</v>
      </c>
      <c r="C190" s="139">
        <v>486</v>
      </c>
      <c r="D190" s="139" t="s">
        <v>817</v>
      </c>
      <c r="E190" s="151" t="s">
        <v>809</v>
      </c>
      <c r="F190" s="196" t="s">
        <v>818</v>
      </c>
      <c r="G190" s="95" t="s">
        <v>458</v>
      </c>
      <c r="H190" s="139">
        <v>1</v>
      </c>
      <c r="I190" s="139">
        <v>1</v>
      </c>
      <c r="J190" s="139">
        <v>1.7500000000000002E-2</v>
      </c>
      <c r="K190" s="139">
        <v>1.7500000000000002E-2</v>
      </c>
      <c r="L190" s="95" t="s">
        <v>459</v>
      </c>
      <c r="M190" s="139">
        <v>1</v>
      </c>
      <c r="N190" s="7">
        <v>2.85</v>
      </c>
      <c r="O190" s="152">
        <v>57.08</v>
      </c>
      <c r="P190" s="7">
        <v>270.83</v>
      </c>
      <c r="Q190" s="7">
        <v>57.08</v>
      </c>
      <c r="R190" s="139">
        <v>57.08</v>
      </c>
      <c r="S190" s="179">
        <f t="shared" si="4"/>
        <v>57.142857142857139</v>
      </c>
      <c r="T190" s="179">
        <f t="shared" si="5"/>
        <v>6.2857142857140502E-2</v>
      </c>
      <c r="U190" s="179"/>
      <c r="V190" s="150" t="s">
        <v>460</v>
      </c>
      <c r="W190" s="150" t="s">
        <v>460</v>
      </c>
      <c r="X190" s="150" t="s">
        <v>460</v>
      </c>
    </row>
    <row r="191" spans="2:24" x14ac:dyDescent="0.3">
      <c r="B191" s="139">
        <v>188</v>
      </c>
      <c r="C191" s="139">
        <v>487</v>
      </c>
      <c r="D191" s="139" t="s">
        <v>819</v>
      </c>
      <c r="E191" s="151" t="s">
        <v>809</v>
      </c>
      <c r="F191" s="196" t="s">
        <v>820</v>
      </c>
      <c r="G191" s="95" t="s">
        <v>458</v>
      </c>
      <c r="H191" s="139">
        <v>4</v>
      </c>
      <c r="I191" s="139">
        <v>2</v>
      </c>
      <c r="J191" s="139">
        <v>7.0199999999999999E-2</v>
      </c>
      <c r="K191" s="139">
        <v>7.0099999999999996E-2</v>
      </c>
      <c r="L191" s="95" t="s">
        <v>459</v>
      </c>
      <c r="M191" s="139">
        <v>0</v>
      </c>
      <c r="N191" s="7">
        <v>0.02</v>
      </c>
      <c r="O191" s="152">
        <v>5.54</v>
      </c>
      <c r="P191" s="7">
        <v>21.26</v>
      </c>
      <c r="Q191" s="7">
        <v>7.83</v>
      </c>
      <c r="R191" s="150">
        <v>0</v>
      </c>
      <c r="S191" s="179">
        <f t="shared" si="4"/>
        <v>0</v>
      </c>
      <c r="T191" s="179">
        <f t="shared" si="5"/>
        <v>0</v>
      </c>
      <c r="U191" s="179"/>
      <c r="V191" s="150" t="s">
        <v>460</v>
      </c>
      <c r="W191" s="150" t="s">
        <v>460</v>
      </c>
      <c r="X191" s="150" t="s">
        <v>460</v>
      </c>
    </row>
    <row r="192" spans="2:24" x14ac:dyDescent="0.3">
      <c r="B192" s="139">
        <v>189</v>
      </c>
      <c r="C192" s="139">
        <v>488</v>
      </c>
      <c r="D192" s="139" t="s">
        <v>821</v>
      </c>
      <c r="E192" s="151" t="s">
        <v>809</v>
      </c>
      <c r="F192" s="196" t="s">
        <v>822</v>
      </c>
      <c r="G192" s="95" t="s">
        <v>458</v>
      </c>
      <c r="H192" s="139">
        <v>4</v>
      </c>
      <c r="I192" s="139">
        <v>2</v>
      </c>
      <c r="J192" s="139">
        <v>7.0199999999999999E-2</v>
      </c>
      <c r="K192" s="139">
        <v>7.0099999999999996E-2</v>
      </c>
      <c r="L192" s="95" t="s">
        <v>459</v>
      </c>
      <c r="M192" s="139">
        <v>0</v>
      </c>
      <c r="N192" s="7">
        <v>0.01</v>
      </c>
      <c r="O192" s="152">
        <v>3.12</v>
      </c>
      <c r="P192" s="7">
        <v>11.97</v>
      </c>
      <c r="Q192" s="7">
        <v>4.41</v>
      </c>
      <c r="R192" s="150">
        <v>0</v>
      </c>
      <c r="S192" s="179">
        <f t="shared" si="4"/>
        <v>0</v>
      </c>
      <c r="T192" s="179">
        <f t="shared" si="5"/>
        <v>0</v>
      </c>
      <c r="U192" s="179"/>
      <c r="V192" s="150" t="s">
        <v>460</v>
      </c>
      <c r="W192" s="150" t="s">
        <v>460</v>
      </c>
      <c r="X192" s="150" t="s">
        <v>460</v>
      </c>
    </row>
    <row r="193" spans="2:24" x14ac:dyDescent="0.3">
      <c r="B193" s="139">
        <v>190</v>
      </c>
      <c r="C193" s="139">
        <v>489</v>
      </c>
      <c r="D193" s="139" t="s">
        <v>823</v>
      </c>
      <c r="E193" s="151" t="s">
        <v>809</v>
      </c>
      <c r="F193" s="196" t="s">
        <v>824</v>
      </c>
      <c r="G193" s="95" t="s">
        <v>458</v>
      </c>
      <c r="H193" s="139">
        <v>2</v>
      </c>
      <c r="I193" s="139">
        <v>1</v>
      </c>
      <c r="J193" s="139">
        <v>3.5099999999999999E-2</v>
      </c>
      <c r="K193" s="139">
        <v>3.5000000000000003E-2</v>
      </c>
      <c r="L193" s="95" t="s">
        <v>459</v>
      </c>
      <c r="M193" s="139">
        <v>1</v>
      </c>
      <c r="N193" s="7">
        <v>1.43</v>
      </c>
      <c r="O193" s="152">
        <v>28.54</v>
      </c>
      <c r="P193" s="7">
        <v>135.41999999999999</v>
      </c>
      <c r="Q193" s="7">
        <v>28.54</v>
      </c>
      <c r="R193" s="139">
        <v>28.54</v>
      </c>
      <c r="S193" s="179">
        <f t="shared" si="4"/>
        <v>28.571428571428569</v>
      </c>
      <c r="T193" s="179">
        <f t="shared" si="5"/>
        <v>3.1428571428570251E-2</v>
      </c>
      <c r="U193" s="179"/>
      <c r="V193" s="150" t="s">
        <v>460</v>
      </c>
      <c r="W193" s="139">
        <v>1</v>
      </c>
      <c r="X193" s="139">
        <v>1</v>
      </c>
    </row>
    <row r="194" spans="2:24" x14ac:dyDescent="0.3">
      <c r="B194" s="139">
        <v>191</v>
      </c>
      <c r="C194" s="139">
        <v>491</v>
      </c>
      <c r="D194" s="139" t="s">
        <v>825</v>
      </c>
      <c r="E194" s="151" t="s">
        <v>809</v>
      </c>
      <c r="F194" s="196" t="s">
        <v>826</v>
      </c>
      <c r="G194" s="95" t="s">
        <v>458</v>
      </c>
      <c r="H194" s="139">
        <v>2</v>
      </c>
      <c r="I194" s="139">
        <v>1</v>
      </c>
      <c r="J194" s="139">
        <v>3.5099999999999999E-2</v>
      </c>
      <c r="K194" s="139">
        <v>3.5000000000000003E-2</v>
      </c>
      <c r="L194" s="95" t="s">
        <v>459</v>
      </c>
      <c r="M194" s="139">
        <v>1</v>
      </c>
      <c r="N194" s="7">
        <v>1.43</v>
      </c>
      <c r="O194" s="152">
        <v>28.54</v>
      </c>
      <c r="P194" s="7">
        <v>135.41999999999999</v>
      </c>
      <c r="Q194" s="7">
        <v>28.54</v>
      </c>
      <c r="R194" s="139">
        <v>28.54</v>
      </c>
      <c r="S194" s="179">
        <f t="shared" si="4"/>
        <v>28.571428571428569</v>
      </c>
      <c r="T194" s="179">
        <f t="shared" si="5"/>
        <v>3.1428571428570251E-2</v>
      </c>
      <c r="U194" s="179"/>
      <c r="V194" s="150" t="s">
        <v>460</v>
      </c>
      <c r="W194" s="139">
        <v>1</v>
      </c>
      <c r="X194" s="139">
        <v>1</v>
      </c>
    </row>
    <row r="195" spans="2:24" x14ac:dyDescent="0.3">
      <c r="B195" s="139">
        <v>192</v>
      </c>
      <c r="C195" s="139">
        <v>492</v>
      </c>
      <c r="D195" s="139" t="s">
        <v>827</v>
      </c>
      <c r="E195" s="151" t="s">
        <v>809</v>
      </c>
      <c r="F195" s="196" t="s">
        <v>828</v>
      </c>
      <c r="G195" s="95" t="s">
        <v>458</v>
      </c>
      <c r="H195" s="139">
        <v>1</v>
      </c>
      <c r="I195" s="139">
        <v>1</v>
      </c>
      <c r="J195" s="139">
        <v>1.7500000000000002E-2</v>
      </c>
      <c r="K195" s="139">
        <v>1.7500000000000002E-2</v>
      </c>
      <c r="L195" s="95" t="s">
        <v>459</v>
      </c>
      <c r="M195" s="139">
        <v>1</v>
      </c>
      <c r="N195" s="7">
        <v>1</v>
      </c>
      <c r="O195" s="152">
        <v>2.85</v>
      </c>
      <c r="P195" s="7">
        <v>57.08</v>
      </c>
      <c r="Q195" s="7">
        <v>270.83</v>
      </c>
      <c r="R195" s="139">
        <v>57.08</v>
      </c>
      <c r="S195" s="179">
        <f t="shared" si="4"/>
        <v>57.142857142857139</v>
      </c>
      <c r="T195" s="179">
        <f t="shared" si="5"/>
        <v>6.2857142857140502E-2</v>
      </c>
      <c r="U195" s="179"/>
      <c r="V195" s="150" t="s">
        <v>460</v>
      </c>
      <c r="W195" s="150" t="s">
        <v>460</v>
      </c>
      <c r="X195" s="150" t="s">
        <v>460</v>
      </c>
    </row>
    <row r="196" spans="2:24" x14ac:dyDescent="0.3">
      <c r="B196" s="139">
        <v>193</v>
      </c>
      <c r="C196" s="139">
        <v>494</v>
      </c>
      <c r="D196" s="139" t="s">
        <v>829</v>
      </c>
      <c r="E196" s="151" t="s">
        <v>809</v>
      </c>
      <c r="F196" s="196" t="s">
        <v>830</v>
      </c>
      <c r="G196" s="95" t="s">
        <v>458</v>
      </c>
      <c r="H196" s="139">
        <v>1</v>
      </c>
      <c r="I196" s="139">
        <v>1</v>
      </c>
      <c r="J196" s="139">
        <v>1.7500000000000002E-2</v>
      </c>
      <c r="K196" s="139">
        <v>1.7500000000000002E-2</v>
      </c>
      <c r="L196" s="95" t="s">
        <v>459</v>
      </c>
      <c r="M196" s="139">
        <v>1</v>
      </c>
      <c r="N196" s="7">
        <v>1</v>
      </c>
      <c r="O196" s="152">
        <v>2.85</v>
      </c>
      <c r="P196" s="7">
        <v>57.08</v>
      </c>
      <c r="Q196" s="7">
        <v>270.83</v>
      </c>
      <c r="R196" s="139">
        <v>57.08</v>
      </c>
      <c r="S196" s="179">
        <f t="shared" si="4"/>
        <v>57.142857142857139</v>
      </c>
      <c r="T196" s="179">
        <f t="shared" si="5"/>
        <v>6.2857142857140502E-2</v>
      </c>
      <c r="U196" s="179"/>
      <c r="V196" s="150" t="s">
        <v>460</v>
      </c>
      <c r="W196" s="150" t="s">
        <v>460</v>
      </c>
      <c r="X196" s="150" t="s">
        <v>460</v>
      </c>
    </row>
    <row r="197" spans="2:24" x14ac:dyDescent="0.3">
      <c r="B197" s="139">
        <v>194</v>
      </c>
      <c r="C197" s="139">
        <v>499</v>
      </c>
      <c r="D197" s="139" t="s">
        <v>831</v>
      </c>
      <c r="E197" s="151" t="s">
        <v>283</v>
      </c>
      <c r="F197" s="196" t="s">
        <v>832</v>
      </c>
      <c r="G197" s="95" t="s">
        <v>458</v>
      </c>
      <c r="H197" s="139">
        <v>907</v>
      </c>
      <c r="I197" s="139">
        <v>31</v>
      </c>
      <c r="J197" s="212">
        <v>22.29</v>
      </c>
      <c r="K197" s="139">
        <v>21.351600000000001</v>
      </c>
      <c r="L197" s="95" t="s">
        <v>459</v>
      </c>
      <c r="M197" s="139">
        <v>289</v>
      </c>
      <c r="N197" s="7">
        <v>128</v>
      </c>
      <c r="O197" s="152">
        <v>13.92</v>
      </c>
      <c r="P197" s="7">
        <v>38.270000000000003</v>
      </c>
      <c r="Q197" s="7">
        <v>12.38</v>
      </c>
      <c r="R197" s="139">
        <v>13.54</v>
      </c>
      <c r="S197" s="179">
        <f t="shared" ref="S197:S260" si="6">M197/K197</f>
        <v>13.53528541186609</v>
      </c>
      <c r="T197" s="179">
        <f t="shared" ref="T197:T260" si="7">ABS(R197-S197)</f>
        <v>4.7145881339094586E-3</v>
      </c>
      <c r="U197" s="179"/>
      <c r="V197" s="150" t="s">
        <v>460</v>
      </c>
      <c r="W197" s="139">
        <v>6.3</v>
      </c>
      <c r="X197" s="139">
        <v>113</v>
      </c>
    </row>
    <row r="198" spans="2:24" x14ac:dyDescent="0.3">
      <c r="B198" s="139">
        <v>195</v>
      </c>
      <c r="C198" s="139">
        <v>504</v>
      </c>
      <c r="D198" s="139" t="s">
        <v>833</v>
      </c>
      <c r="E198" s="151" t="s">
        <v>283</v>
      </c>
      <c r="F198" s="196" t="s">
        <v>834</v>
      </c>
      <c r="G198" s="95" t="s">
        <v>458</v>
      </c>
      <c r="H198" s="139">
        <v>5</v>
      </c>
      <c r="I198" s="139">
        <v>1</v>
      </c>
      <c r="J198" s="139">
        <v>0.1212</v>
      </c>
      <c r="K198" s="139">
        <v>0.1211</v>
      </c>
      <c r="L198" s="95" t="s">
        <v>459</v>
      </c>
      <c r="M198" s="139">
        <v>0</v>
      </c>
      <c r="N198" s="7">
        <v>0.01</v>
      </c>
      <c r="O198" s="152">
        <v>3.18</v>
      </c>
      <c r="P198" s="7">
        <v>12.23</v>
      </c>
      <c r="Q198" s="7">
        <v>4.5</v>
      </c>
      <c r="R198" s="150">
        <v>0</v>
      </c>
      <c r="S198" s="179">
        <f t="shared" si="6"/>
        <v>0</v>
      </c>
      <c r="T198" s="179">
        <f t="shared" si="7"/>
        <v>0</v>
      </c>
      <c r="U198" s="179"/>
      <c r="V198" s="150" t="s">
        <v>460</v>
      </c>
      <c r="W198" s="150" t="s">
        <v>460</v>
      </c>
      <c r="X198" s="150" t="s">
        <v>460</v>
      </c>
    </row>
    <row r="199" spans="2:24" x14ac:dyDescent="0.3">
      <c r="B199" s="139">
        <v>196</v>
      </c>
      <c r="C199" s="139">
        <v>505</v>
      </c>
      <c r="D199" s="139" t="s">
        <v>835</v>
      </c>
      <c r="E199" s="151" t="s">
        <v>283</v>
      </c>
      <c r="F199" s="196" t="s">
        <v>836</v>
      </c>
      <c r="G199" s="95" t="s">
        <v>458</v>
      </c>
      <c r="H199" s="139">
        <v>5</v>
      </c>
      <c r="I199" s="139">
        <v>1</v>
      </c>
      <c r="J199" s="139">
        <v>0.1212</v>
      </c>
      <c r="K199" s="139">
        <v>0.1211</v>
      </c>
      <c r="L199" s="95" t="s">
        <v>459</v>
      </c>
      <c r="M199" s="139">
        <v>0</v>
      </c>
      <c r="N199" s="7">
        <v>0.01</v>
      </c>
      <c r="O199" s="152">
        <v>1.8</v>
      </c>
      <c r="P199" s="7">
        <v>6.9</v>
      </c>
      <c r="Q199" s="7">
        <v>2.54</v>
      </c>
      <c r="R199" s="150">
        <v>0</v>
      </c>
      <c r="S199" s="179">
        <f t="shared" si="6"/>
        <v>0</v>
      </c>
      <c r="T199" s="179">
        <f t="shared" si="7"/>
        <v>0</v>
      </c>
      <c r="U199" s="179"/>
      <c r="V199" s="150" t="s">
        <v>460</v>
      </c>
      <c r="W199" s="150" t="s">
        <v>460</v>
      </c>
      <c r="X199" s="150" t="s">
        <v>460</v>
      </c>
    </row>
    <row r="200" spans="2:24" x14ac:dyDescent="0.3">
      <c r="B200" s="139">
        <v>197</v>
      </c>
      <c r="C200" s="139">
        <v>506</v>
      </c>
      <c r="D200" s="139" t="s">
        <v>837</v>
      </c>
      <c r="E200" s="151" t="s">
        <v>283</v>
      </c>
      <c r="F200" s="196" t="s">
        <v>838</v>
      </c>
      <c r="G200" s="95" t="s">
        <v>458</v>
      </c>
      <c r="H200" s="139">
        <v>5</v>
      </c>
      <c r="I200" s="139">
        <v>1</v>
      </c>
      <c r="J200" s="139">
        <v>0.1212</v>
      </c>
      <c r="K200" s="139">
        <v>0.1211</v>
      </c>
      <c r="L200" s="95" t="s">
        <v>459</v>
      </c>
      <c r="M200" s="139">
        <v>0</v>
      </c>
      <c r="N200" s="213">
        <v>5.0000000000000001E-3</v>
      </c>
      <c r="O200" s="152">
        <v>1.25</v>
      </c>
      <c r="P200" s="7">
        <v>4.8099999999999996</v>
      </c>
      <c r="Q200" s="7">
        <v>1.77</v>
      </c>
      <c r="R200" s="150">
        <v>0</v>
      </c>
      <c r="S200" s="179">
        <f t="shared" si="6"/>
        <v>0</v>
      </c>
      <c r="T200" s="179">
        <f t="shared" si="7"/>
        <v>0</v>
      </c>
      <c r="U200" s="179"/>
      <c r="V200" s="150" t="s">
        <v>460</v>
      </c>
      <c r="W200" s="150" t="s">
        <v>460</v>
      </c>
      <c r="X200" s="150" t="s">
        <v>460</v>
      </c>
    </row>
    <row r="201" spans="2:24" x14ac:dyDescent="0.3">
      <c r="B201" s="139">
        <v>198</v>
      </c>
      <c r="C201" s="139">
        <v>507</v>
      </c>
      <c r="D201" s="139" t="s">
        <v>260</v>
      </c>
      <c r="E201" s="151" t="s">
        <v>283</v>
      </c>
      <c r="F201" s="196" t="s">
        <v>839</v>
      </c>
      <c r="G201" s="95" t="s">
        <v>458</v>
      </c>
      <c r="H201" s="139">
        <v>28</v>
      </c>
      <c r="I201" s="139">
        <v>3</v>
      </c>
      <c r="J201" s="139">
        <v>0.90069999999999995</v>
      </c>
      <c r="K201" s="139">
        <v>0.90029999999999999</v>
      </c>
      <c r="L201" s="95" t="s">
        <v>459</v>
      </c>
      <c r="M201" s="139">
        <v>12</v>
      </c>
      <c r="N201" s="7">
        <v>6.81</v>
      </c>
      <c r="O201" s="152">
        <v>12.39</v>
      </c>
      <c r="P201" s="7">
        <v>19.32</v>
      </c>
      <c r="Q201" s="7">
        <v>3.85</v>
      </c>
      <c r="R201" s="139">
        <v>13.33</v>
      </c>
      <c r="S201" s="179">
        <f t="shared" si="6"/>
        <v>13.328890369876708</v>
      </c>
      <c r="T201" s="179">
        <f t="shared" si="7"/>
        <v>1.1096301232917938E-3</v>
      </c>
      <c r="U201" s="179"/>
      <c r="V201" s="150" t="s">
        <v>460</v>
      </c>
      <c r="W201" s="139">
        <v>3.1</v>
      </c>
      <c r="X201" s="139">
        <v>6</v>
      </c>
    </row>
    <row r="202" spans="2:24" x14ac:dyDescent="0.3">
      <c r="B202" s="139">
        <v>199</v>
      </c>
      <c r="C202" s="139">
        <v>510</v>
      </c>
      <c r="D202" s="139" t="s">
        <v>399</v>
      </c>
      <c r="E202" s="151" t="s">
        <v>283</v>
      </c>
      <c r="F202" s="196" t="s">
        <v>840</v>
      </c>
      <c r="G202" s="95" t="s">
        <v>458</v>
      </c>
      <c r="H202" s="139">
        <v>19</v>
      </c>
      <c r="I202" s="139">
        <v>2</v>
      </c>
      <c r="J202" s="139">
        <v>0.66420000000000001</v>
      </c>
      <c r="K202" s="139">
        <v>0.66379999999999995</v>
      </c>
      <c r="L202" s="95" t="s">
        <v>459</v>
      </c>
      <c r="M202" s="139">
        <v>11</v>
      </c>
      <c r="N202" s="7">
        <v>1.71</v>
      </c>
      <c r="O202" s="152">
        <v>14.72</v>
      </c>
      <c r="P202" s="7">
        <v>38.35</v>
      </c>
      <c r="Q202" s="7">
        <v>12.04</v>
      </c>
      <c r="R202" s="139">
        <v>16.57</v>
      </c>
      <c r="S202" s="179">
        <f t="shared" si="6"/>
        <v>16.571256402530885</v>
      </c>
      <c r="T202" s="179">
        <f t="shared" si="7"/>
        <v>1.2564025308847704E-3</v>
      </c>
      <c r="U202" s="179"/>
      <c r="V202" s="150" t="s">
        <v>460</v>
      </c>
      <c r="W202" s="139">
        <v>3.1</v>
      </c>
      <c r="X202" s="139">
        <v>6</v>
      </c>
    </row>
    <row r="203" spans="2:24" x14ac:dyDescent="0.3">
      <c r="B203" s="139">
        <v>200</v>
      </c>
      <c r="C203" s="139">
        <v>511</v>
      </c>
      <c r="D203" s="139" t="s">
        <v>841</v>
      </c>
      <c r="E203" s="151" t="s">
        <v>283</v>
      </c>
      <c r="F203" s="196" t="s">
        <v>842</v>
      </c>
      <c r="G203" s="95" t="s">
        <v>458</v>
      </c>
      <c r="H203" s="139">
        <v>17</v>
      </c>
      <c r="I203" s="139">
        <v>2</v>
      </c>
      <c r="J203" s="139">
        <v>0.58330000000000004</v>
      </c>
      <c r="K203" s="139">
        <v>0.58299999999999996</v>
      </c>
      <c r="L203" s="95" t="s">
        <v>459</v>
      </c>
      <c r="M203" s="139">
        <v>8</v>
      </c>
      <c r="N203" s="7">
        <v>1.52</v>
      </c>
      <c r="O203" s="152">
        <v>12.4</v>
      </c>
      <c r="P203" s="7">
        <v>32.01</v>
      </c>
      <c r="Q203" s="7">
        <v>10</v>
      </c>
      <c r="R203" s="139">
        <v>13.72</v>
      </c>
      <c r="S203" s="179">
        <f t="shared" si="6"/>
        <v>13.722126929674101</v>
      </c>
      <c r="T203" s="179">
        <f t="shared" si="7"/>
        <v>2.1269296740999977E-3</v>
      </c>
      <c r="U203" s="179"/>
      <c r="V203" s="150" t="s">
        <v>460</v>
      </c>
      <c r="W203" s="139">
        <v>2.8</v>
      </c>
      <c r="X203" s="139">
        <v>6</v>
      </c>
    </row>
    <row r="204" spans="2:24" x14ac:dyDescent="0.3">
      <c r="B204" s="139">
        <v>201</v>
      </c>
      <c r="C204" s="139">
        <v>512</v>
      </c>
      <c r="D204" s="139" t="s">
        <v>843</v>
      </c>
      <c r="E204" s="151" t="s">
        <v>283</v>
      </c>
      <c r="F204" s="196" t="s">
        <v>844</v>
      </c>
      <c r="G204" s="95" t="s">
        <v>458</v>
      </c>
      <c r="H204" s="139">
        <v>1</v>
      </c>
      <c r="I204" s="139">
        <v>1</v>
      </c>
      <c r="J204" s="139">
        <v>4.0399999999999998E-2</v>
      </c>
      <c r="K204" s="139">
        <v>4.0399999999999998E-2</v>
      </c>
      <c r="L204" s="95" t="s">
        <v>459</v>
      </c>
      <c r="M204" s="139">
        <v>2</v>
      </c>
      <c r="N204" s="7">
        <v>8.7899999999999991</v>
      </c>
      <c r="O204" s="152">
        <v>49.51</v>
      </c>
      <c r="P204" s="7">
        <v>155.85</v>
      </c>
      <c r="Q204" s="7">
        <v>35.01</v>
      </c>
      <c r="R204" s="139">
        <v>49.51</v>
      </c>
      <c r="S204" s="179">
        <f t="shared" si="6"/>
        <v>49.504950495049506</v>
      </c>
      <c r="T204" s="179">
        <f t="shared" si="7"/>
        <v>5.0495049504917233E-3</v>
      </c>
      <c r="U204" s="179"/>
      <c r="V204" s="150" t="s">
        <v>460</v>
      </c>
      <c r="W204" s="139">
        <v>4.5</v>
      </c>
      <c r="X204" s="139">
        <v>5</v>
      </c>
    </row>
    <row r="205" spans="2:24" x14ac:dyDescent="0.3">
      <c r="B205" s="139">
        <v>202</v>
      </c>
      <c r="C205" s="139">
        <v>513</v>
      </c>
      <c r="D205" s="139" t="s">
        <v>845</v>
      </c>
      <c r="E205" s="151" t="s">
        <v>283</v>
      </c>
      <c r="F205" s="196" t="s">
        <v>846</v>
      </c>
      <c r="G205" s="95" t="s">
        <v>458</v>
      </c>
      <c r="H205" s="139">
        <v>1</v>
      </c>
      <c r="I205" s="139">
        <v>1</v>
      </c>
      <c r="J205" s="139">
        <v>4.0399999999999998E-2</v>
      </c>
      <c r="K205" s="139">
        <v>4.0399999999999998E-2</v>
      </c>
      <c r="L205" s="95" t="s">
        <v>459</v>
      </c>
      <c r="M205" s="139">
        <v>1</v>
      </c>
      <c r="N205" s="7">
        <v>1.24</v>
      </c>
      <c r="O205" s="152">
        <v>24.76</v>
      </c>
      <c r="P205" s="7">
        <v>117.47</v>
      </c>
      <c r="Q205" s="7">
        <v>24.76</v>
      </c>
      <c r="R205" s="139">
        <v>24.76</v>
      </c>
      <c r="S205" s="179">
        <f t="shared" si="6"/>
        <v>24.752475247524753</v>
      </c>
      <c r="T205" s="179">
        <f t="shared" si="7"/>
        <v>7.5247524752484196E-3</v>
      </c>
      <c r="U205" s="179"/>
      <c r="V205" s="150" t="s">
        <v>460</v>
      </c>
      <c r="W205" s="139">
        <v>2</v>
      </c>
      <c r="X205" s="139">
        <v>2</v>
      </c>
    </row>
    <row r="206" spans="2:24" x14ac:dyDescent="0.3">
      <c r="B206" s="139">
        <v>203</v>
      </c>
      <c r="C206" s="139">
        <v>514</v>
      </c>
      <c r="D206" s="139" t="s">
        <v>847</v>
      </c>
      <c r="E206" s="151" t="s">
        <v>283</v>
      </c>
      <c r="F206" s="196" t="s">
        <v>848</v>
      </c>
      <c r="G206" s="95" t="s">
        <v>458</v>
      </c>
      <c r="H206" s="139">
        <v>9</v>
      </c>
      <c r="I206" s="139">
        <v>1</v>
      </c>
      <c r="J206" s="139">
        <v>0.23649999999999999</v>
      </c>
      <c r="K206" s="139">
        <v>0.23649999999999999</v>
      </c>
      <c r="L206" s="95" t="s">
        <v>459</v>
      </c>
      <c r="M206" s="139">
        <v>1</v>
      </c>
      <c r="N206" s="7">
        <v>0.21</v>
      </c>
      <c r="O206" s="152">
        <v>4.2300000000000004</v>
      </c>
      <c r="P206" s="7">
        <v>20.059999999999999</v>
      </c>
      <c r="Q206" s="7">
        <v>4.2300000000000004</v>
      </c>
      <c r="R206" s="139">
        <v>4.2300000000000004</v>
      </c>
      <c r="S206" s="179">
        <f t="shared" si="6"/>
        <v>4.2283298097251585</v>
      </c>
      <c r="T206" s="179">
        <f t="shared" si="7"/>
        <v>1.6701902748419428E-3</v>
      </c>
      <c r="U206" s="179"/>
      <c r="V206" s="150" t="s">
        <v>460</v>
      </c>
      <c r="W206" s="139">
        <v>4</v>
      </c>
      <c r="X206" s="139">
        <v>4</v>
      </c>
    </row>
    <row r="207" spans="2:24" x14ac:dyDescent="0.3">
      <c r="B207" s="139">
        <v>204</v>
      </c>
      <c r="C207" s="139">
        <v>515</v>
      </c>
      <c r="D207" s="139" t="s">
        <v>849</v>
      </c>
      <c r="E207" s="151" t="s">
        <v>283</v>
      </c>
      <c r="F207" s="196" t="s">
        <v>850</v>
      </c>
      <c r="G207" s="95" t="s">
        <v>458</v>
      </c>
      <c r="H207" s="139">
        <v>9</v>
      </c>
      <c r="I207" s="139">
        <v>1</v>
      </c>
      <c r="J207" s="139">
        <v>0.23649999999999999</v>
      </c>
      <c r="K207" s="139">
        <v>0.23649999999999999</v>
      </c>
      <c r="L207" s="95" t="s">
        <v>459</v>
      </c>
      <c r="M207" s="139">
        <v>1</v>
      </c>
      <c r="N207" s="7">
        <v>0.21</v>
      </c>
      <c r="O207" s="152">
        <v>4.2300000000000004</v>
      </c>
      <c r="P207" s="7">
        <v>20.059999999999999</v>
      </c>
      <c r="Q207" s="7">
        <v>4.2300000000000004</v>
      </c>
      <c r="R207" s="139">
        <v>4.2300000000000004</v>
      </c>
      <c r="S207" s="179">
        <f t="shared" si="6"/>
        <v>4.2283298097251585</v>
      </c>
      <c r="T207" s="179">
        <f t="shared" si="7"/>
        <v>1.6701902748419428E-3</v>
      </c>
      <c r="U207" s="179"/>
      <c r="V207" s="150" t="s">
        <v>460</v>
      </c>
      <c r="W207" s="139">
        <v>4</v>
      </c>
      <c r="X207" s="139">
        <v>4</v>
      </c>
    </row>
    <row r="208" spans="2:24" x14ac:dyDescent="0.3">
      <c r="B208" s="139">
        <v>205</v>
      </c>
      <c r="C208" s="139">
        <v>516</v>
      </c>
      <c r="D208" s="139" t="s">
        <v>851</v>
      </c>
      <c r="E208" s="151" t="s">
        <v>283</v>
      </c>
      <c r="F208" s="196" t="s">
        <v>852</v>
      </c>
      <c r="G208" s="95" t="s">
        <v>458</v>
      </c>
      <c r="H208" s="139">
        <v>2</v>
      </c>
      <c r="I208" s="139">
        <v>2</v>
      </c>
      <c r="J208" s="139">
        <v>4.3799999999999999E-2</v>
      </c>
      <c r="K208" s="139">
        <v>4.2000000000000003E-2</v>
      </c>
      <c r="L208" s="95" t="s">
        <v>459</v>
      </c>
      <c r="M208" s="139">
        <v>0</v>
      </c>
      <c r="N208" s="7">
        <v>0.03</v>
      </c>
      <c r="O208" s="152">
        <v>6.42</v>
      </c>
      <c r="P208" s="7">
        <v>24.64</v>
      </c>
      <c r="Q208" s="7">
        <v>9.08</v>
      </c>
      <c r="R208" s="150">
        <v>0</v>
      </c>
      <c r="S208" s="179">
        <f t="shared" si="6"/>
        <v>0</v>
      </c>
      <c r="T208" s="179">
        <f t="shared" si="7"/>
        <v>0</v>
      </c>
      <c r="U208" s="179"/>
      <c r="V208" s="150" t="s">
        <v>460</v>
      </c>
      <c r="W208" s="150" t="s">
        <v>460</v>
      </c>
      <c r="X208" s="150" t="s">
        <v>460</v>
      </c>
    </row>
    <row r="209" spans="2:24" x14ac:dyDescent="0.3">
      <c r="B209" s="139">
        <v>206</v>
      </c>
      <c r="C209" s="139">
        <v>517</v>
      </c>
      <c r="D209" s="139" t="s">
        <v>853</v>
      </c>
      <c r="E209" s="151" t="s">
        <v>283</v>
      </c>
      <c r="F209" s="196" t="s">
        <v>854</v>
      </c>
      <c r="G209" s="95" t="s">
        <v>458</v>
      </c>
      <c r="H209" s="139">
        <v>2</v>
      </c>
      <c r="I209" s="139">
        <v>2</v>
      </c>
      <c r="J209" s="139">
        <v>4.3799999999999999E-2</v>
      </c>
      <c r="K209" s="139">
        <v>4.2000000000000003E-2</v>
      </c>
      <c r="L209" s="95" t="s">
        <v>459</v>
      </c>
      <c r="M209" s="139">
        <v>0</v>
      </c>
      <c r="N209" s="7">
        <v>0.02</v>
      </c>
      <c r="O209" s="152">
        <v>4.17</v>
      </c>
      <c r="P209" s="7">
        <v>16.010000000000002</v>
      </c>
      <c r="Q209" s="7">
        <v>5.9</v>
      </c>
      <c r="R209" s="150">
        <v>0</v>
      </c>
      <c r="S209" s="179">
        <f t="shared" si="6"/>
        <v>0</v>
      </c>
      <c r="T209" s="179">
        <f t="shared" si="7"/>
        <v>0</v>
      </c>
      <c r="U209" s="179"/>
      <c r="V209" s="150" t="s">
        <v>460</v>
      </c>
      <c r="W209" s="150" t="s">
        <v>460</v>
      </c>
      <c r="X209" s="150" t="s">
        <v>460</v>
      </c>
    </row>
    <row r="210" spans="2:24" x14ac:dyDescent="0.3">
      <c r="B210" s="139">
        <v>207</v>
      </c>
      <c r="C210" s="139">
        <v>518</v>
      </c>
      <c r="D210" s="139" t="s">
        <v>855</v>
      </c>
      <c r="E210" s="151" t="s">
        <v>283</v>
      </c>
      <c r="F210" s="196" t="s">
        <v>856</v>
      </c>
      <c r="G210" s="95" t="s">
        <v>458</v>
      </c>
      <c r="H210" s="139">
        <v>2</v>
      </c>
      <c r="I210" s="139">
        <v>2</v>
      </c>
      <c r="J210" s="139">
        <v>4.3799999999999999E-2</v>
      </c>
      <c r="K210" s="139">
        <v>4.2000000000000003E-2</v>
      </c>
      <c r="L210" s="95" t="s">
        <v>459</v>
      </c>
      <c r="M210" s="139">
        <v>0</v>
      </c>
      <c r="N210" s="7">
        <v>0.01</v>
      </c>
      <c r="O210" s="152">
        <v>3.09</v>
      </c>
      <c r="P210" s="7">
        <v>11.86</v>
      </c>
      <c r="Q210" s="7">
        <v>4.37</v>
      </c>
      <c r="R210" s="150">
        <v>0</v>
      </c>
      <c r="S210" s="179">
        <f t="shared" si="6"/>
        <v>0</v>
      </c>
      <c r="T210" s="179">
        <f t="shared" si="7"/>
        <v>0</v>
      </c>
      <c r="U210" s="179"/>
      <c r="V210" s="150" t="s">
        <v>460</v>
      </c>
      <c r="W210" s="150" t="s">
        <v>460</v>
      </c>
      <c r="X210" s="150" t="s">
        <v>460</v>
      </c>
    </row>
    <row r="211" spans="2:24" x14ac:dyDescent="0.3">
      <c r="B211" s="139">
        <v>208</v>
      </c>
      <c r="C211" s="139">
        <v>519</v>
      </c>
      <c r="D211" s="139" t="s">
        <v>857</v>
      </c>
      <c r="E211" s="151" t="s">
        <v>283</v>
      </c>
      <c r="F211" s="196" t="s">
        <v>858</v>
      </c>
      <c r="G211" s="95" t="s">
        <v>458</v>
      </c>
      <c r="H211" s="139">
        <v>43</v>
      </c>
      <c r="I211" s="139">
        <v>1</v>
      </c>
      <c r="J211" s="139">
        <v>1.1299999999999999</v>
      </c>
      <c r="K211" s="139">
        <v>1.1299999999999999</v>
      </c>
      <c r="L211" s="95" t="s">
        <v>459</v>
      </c>
      <c r="M211" s="139">
        <v>44</v>
      </c>
      <c r="N211" s="7">
        <v>29.81</v>
      </c>
      <c r="O211" s="152">
        <v>38.94</v>
      </c>
      <c r="P211" s="7">
        <v>50.06</v>
      </c>
      <c r="Q211" s="7">
        <v>5.87</v>
      </c>
      <c r="R211" s="139">
        <v>38.94</v>
      </c>
      <c r="S211" s="179">
        <f t="shared" si="6"/>
        <v>38.938053097345133</v>
      </c>
      <c r="T211" s="179">
        <f t="shared" si="7"/>
        <v>1.9469026548648571E-3</v>
      </c>
      <c r="U211" s="179"/>
      <c r="V211" s="150" t="s">
        <v>460</v>
      </c>
      <c r="W211" s="139">
        <v>7.3</v>
      </c>
      <c r="X211" s="139">
        <v>21</v>
      </c>
    </row>
    <row r="212" spans="2:24" x14ac:dyDescent="0.3">
      <c r="B212" s="139">
        <v>209</v>
      </c>
      <c r="C212" s="139">
        <v>522</v>
      </c>
      <c r="D212" s="139" t="s">
        <v>859</v>
      </c>
      <c r="E212" s="151" t="s">
        <v>283</v>
      </c>
      <c r="F212" s="196" t="s">
        <v>860</v>
      </c>
      <c r="G212" s="95" t="s">
        <v>458</v>
      </c>
      <c r="H212" s="139">
        <v>43</v>
      </c>
      <c r="I212" s="139">
        <v>1</v>
      </c>
      <c r="J212" s="139">
        <v>1.1299999999999999</v>
      </c>
      <c r="K212" s="139">
        <v>1.1299999999999999</v>
      </c>
      <c r="L212" s="95" t="s">
        <v>459</v>
      </c>
      <c r="M212" s="139">
        <v>44</v>
      </c>
      <c r="N212" s="7">
        <v>29.81</v>
      </c>
      <c r="O212" s="152">
        <v>38.94</v>
      </c>
      <c r="P212" s="7">
        <v>50.06</v>
      </c>
      <c r="Q212" s="7">
        <v>5.87</v>
      </c>
      <c r="R212" s="139">
        <v>38.94</v>
      </c>
      <c r="S212" s="179">
        <f t="shared" si="6"/>
        <v>38.938053097345133</v>
      </c>
      <c r="T212" s="179">
        <f t="shared" si="7"/>
        <v>1.9469026548648571E-3</v>
      </c>
      <c r="U212" s="179"/>
      <c r="V212" s="150" t="s">
        <v>460</v>
      </c>
      <c r="W212" s="139">
        <v>7.3</v>
      </c>
      <c r="X212" s="139">
        <v>21</v>
      </c>
    </row>
    <row r="213" spans="2:24" x14ac:dyDescent="0.3">
      <c r="B213" s="139">
        <v>210</v>
      </c>
      <c r="C213" s="139">
        <v>523</v>
      </c>
      <c r="D213" s="139" t="s">
        <v>861</v>
      </c>
      <c r="E213" s="151" t="s">
        <v>283</v>
      </c>
      <c r="F213" s="196" t="s">
        <v>862</v>
      </c>
      <c r="G213" s="95" t="s">
        <v>458</v>
      </c>
      <c r="H213" s="139">
        <v>1</v>
      </c>
      <c r="I213" s="139">
        <v>1</v>
      </c>
      <c r="J213" s="139">
        <v>2.63E-2</v>
      </c>
      <c r="K213" s="139">
        <v>2.63E-2</v>
      </c>
      <c r="L213" s="95" t="s">
        <v>459</v>
      </c>
      <c r="M213" s="139">
        <v>1</v>
      </c>
      <c r="N213" s="7">
        <v>1.9</v>
      </c>
      <c r="O213" s="152">
        <v>38.049999999999997</v>
      </c>
      <c r="P213" s="7">
        <v>180.56</v>
      </c>
      <c r="Q213" s="7">
        <v>38.049999999999997</v>
      </c>
      <c r="R213" s="139">
        <v>38.049999999999997</v>
      </c>
      <c r="S213" s="179">
        <f t="shared" si="6"/>
        <v>38.022813688212928</v>
      </c>
      <c r="T213" s="179">
        <f t="shared" si="7"/>
        <v>2.7186311787069428E-2</v>
      </c>
      <c r="U213" s="179"/>
      <c r="V213" s="150" t="s">
        <v>460</v>
      </c>
      <c r="W213" s="139">
        <v>9</v>
      </c>
      <c r="X213" s="139">
        <v>9</v>
      </c>
    </row>
    <row r="214" spans="2:24" x14ac:dyDescent="0.3">
      <c r="B214" s="139">
        <v>211</v>
      </c>
      <c r="C214" s="139">
        <v>524</v>
      </c>
      <c r="D214" s="139" t="s">
        <v>863</v>
      </c>
      <c r="E214" s="151" t="s">
        <v>283</v>
      </c>
      <c r="F214" s="196" t="s">
        <v>864</v>
      </c>
      <c r="G214" s="95" t="s">
        <v>458</v>
      </c>
      <c r="H214" s="139">
        <v>41</v>
      </c>
      <c r="I214" s="139">
        <v>1</v>
      </c>
      <c r="J214" s="139">
        <v>1.0774999999999999</v>
      </c>
      <c r="K214" s="139">
        <v>1.0774999999999999</v>
      </c>
      <c r="L214" s="95" t="s">
        <v>459</v>
      </c>
      <c r="M214" s="139">
        <v>43</v>
      </c>
      <c r="N214" s="7">
        <v>30.45</v>
      </c>
      <c r="O214" s="152">
        <v>39.909999999999997</v>
      </c>
      <c r="P214" s="7">
        <v>51.46</v>
      </c>
      <c r="Q214" s="7">
        <v>6.09</v>
      </c>
      <c r="R214" s="139">
        <v>39.909999999999997</v>
      </c>
      <c r="S214" s="179">
        <f t="shared" si="6"/>
        <v>39.907192575406036</v>
      </c>
      <c r="T214" s="179">
        <f t="shared" si="7"/>
        <v>2.8074245939606612E-3</v>
      </c>
      <c r="U214" s="179"/>
      <c r="V214" s="150" t="s">
        <v>460</v>
      </c>
      <c r="W214" s="139">
        <v>7.2</v>
      </c>
      <c r="X214" s="139">
        <v>21</v>
      </c>
    </row>
    <row r="215" spans="2:24" x14ac:dyDescent="0.3">
      <c r="B215" s="139">
        <v>212</v>
      </c>
      <c r="C215" s="139">
        <v>525</v>
      </c>
      <c r="D215" s="139" t="s">
        <v>865</v>
      </c>
      <c r="E215" s="151" t="s">
        <v>283</v>
      </c>
      <c r="F215" s="196" t="s">
        <v>866</v>
      </c>
      <c r="G215" s="95" t="s">
        <v>458</v>
      </c>
      <c r="H215" s="139">
        <v>1</v>
      </c>
      <c r="I215" s="139">
        <v>1</v>
      </c>
      <c r="J215" s="139">
        <v>2.63E-2</v>
      </c>
      <c r="K215" s="139">
        <v>2.63E-2</v>
      </c>
      <c r="L215" s="95" t="s">
        <v>459</v>
      </c>
      <c r="M215" s="139">
        <v>0</v>
      </c>
      <c r="N215" s="7">
        <v>0.05</v>
      </c>
      <c r="O215" s="152">
        <v>12.78</v>
      </c>
      <c r="P215" s="7">
        <v>49.08</v>
      </c>
      <c r="Q215" s="7">
        <v>18.07</v>
      </c>
      <c r="R215" s="150">
        <v>0</v>
      </c>
      <c r="S215" s="179">
        <f t="shared" si="6"/>
        <v>0</v>
      </c>
      <c r="T215" s="179">
        <f t="shared" si="7"/>
        <v>0</v>
      </c>
      <c r="U215" s="179"/>
      <c r="V215" s="150" t="s">
        <v>460</v>
      </c>
      <c r="W215" s="150" t="s">
        <v>460</v>
      </c>
      <c r="X215" s="150" t="s">
        <v>460</v>
      </c>
    </row>
    <row r="216" spans="2:24" x14ac:dyDescent="0.3">
      <c r="B216" s="139">
        <v>213</v>
      </c>
      <c r="C216" s="139">
        <v>527</v>
      </c>
      <c r="D216" s="139" t="s">
        <v>461</v>
      </c>
      <c r="E216" s="151" t="s">
        <v>283</v>
      </c>
      <c r="F216" s="196" t="s">
        <v>867</v>
      </c>
      <c r="G216" s="95" t="s">
        <v>458</v>
      </c>
      <c r="H216" s="139">
        <v>144</v>
      </c>
      <c r="I216" s="139">
        <v>14</v>
      </c>
      <c r="J216" s="139">
        <v>3.7069999999999999</v>
      </c>
      <c r="K216" s="139">
        <v>3.6928000000000001</v>
      </c>
      <c r="L216" s="95" t="s">
        <v>459</v>
      </c>
      <c r="M216" s="139">
        <v>98</v>
      </c>
      <c r="N216" s="7">
        <v>3.67</v>
      </c>
      <c r="O216" s="152">
        <v>25.37</v>
      </c>
      <c r="P216" s="7">
        <v>63.36</v>
      </c>
      <c r="Q216" s="7">
        <v>19.489999999999998</v>
      </c>
      <c r="R216" s="139">
        <v>26.54</v>
      </c>
      <c r="S216" s="179">
        <f t="shared" si="6"/>
        <v>26.538128249566725</v>
      </c>
      <c r="T216" s="179">
        <f t="shared" si="7"/>
        <v>1.8717504332741441E-3</v>
      </c>
      <c r="U216" s="179"/>
      <c r="V216" s="150" t="s">
        <v>460</v>
      </c>
      <c r="W216" s="139">
        <v>8.4</v>
      </c>
      <c r="X216" s="139">
        <v>113</v>
      </c>
    </row>
    <row r="217" spans="2:24" x14ac:dyDescent="0.3">
      <c r="B217" s="139">
        <v>214</v>
      </c>
      <c r="C217" s="139">
        <v>532</v>
      </c>
      <c r="D217" s="139" t="s">
        <v>868</v>
      </c>
      <c r="E217" s="151" t="s">
        <v>283</v>
      </c>
      <c r="F217" s="196" t="s">
        <v>869</v>
      </c>
      <c r="G217" s="95" t="s">
        <v>458</v>
      </c>
      <c r="H217" s="139">
        <v>88</v>
      </c>
      <c r="I217" s="139">
        <v>14</v>
      </c>
      <c r="J217" s="139">
        <v>2.3527999999999998</v>
      </c>
      <c r="K217" s="139">
        <v>2.3443999999999998</v>
      </c>
      <c r="L217" s="95" t="s">
        <v>459</v>
      </c>
      <c r="M217" s="139">
        <v>61</v>
      </c>
      <c r="N217" s="7">
        <v>3.74</v>
      </c>
      <c r="O217" s="152">
        <v>27.15</v>
      </c>
      <c r="P217" s="7">
        <v>68.52</v>
      </c>
      <c r="Q217" s="7">
        <v>21.19</v>
      </c>
      <c r="R217" s="139">
        <v>26.02</v>
      </c>
      <c r="S217" s="179">
        <f t="shared" si="6"/>
        <v>26.019450605698687</v>
      </c>
      <c r="T217" s="179">
        <f t="shared" si="7"/>
        <v>5.4939430131284439E-4</v>
      </c>
      <c r="U217" s="179"/>
      <c r="V217" s="150" t="s">
        <v>460</v>
      </c>
      <c r="W217" s="139">
        <v>11</v>
      </c>
      <c r="X217" s="139">
        <v>113</v>
      </c>
    </row>
    <row r="218" spans="2:24" x14ac:dyDescent="0.3">
      <c r="B218" s="139">
        <v>215</v>
      </c>
      <c r="C218" s="139">
        <v>533</v>
      </c>
      <c r="D218" s="139" t="s">
        <v>870</v>
      </c>
      <c r="E218" s="151" t="s">
        <v>283</v>
      </c>
      <c r="F218" s="196" t="s">
        <v>871</v>
      </c>
      <c r="G218" s="95" t="s">
        <v>458</v>
      </c>
      <c r="H218" s="139">
        <v>18</v>
      </c>
      <c r="I218" s="139">
        <v>2</v>
      </c>
      <c r="J218" s="139">
        <v>0.45269999999999999</v>
      </c>
      <c r="K218" s="139">
        <v>0.45019999999999999</v>
      </c>
      <c r="L218" s="95" t="s">
        <v>459</v>
      </c>
      <c r="M218" s="139">
        <v>10</v>
      </c>
      <c r="N218" s="7">
        <v>10.220000000000001</v>
      </c>
      <c r="O218" s="152">
        <v>22.42</v>
      </c>
      <c r="P218" s="7">
        <v>38.46</v>
      </c>
      <c r="Q218" s="7">
        <v>8.74</v>
      </c>
      <c r="R218" s="139">
        <v>22.21</v>
      </c>
      <c r="S218" s="179">
        <f t="shared" si="6"/>
        <v>22.21235006663705</v>
      </c>
      <c r="T218" s="179">
        <f t="shared" si="7"/>
        <v>2.3500666370495082E-3</v>
      </c>
      <c r="U218" s="179"/>
      <c r="V218" s="150" t="s">
        <v>460</v>
      </c>
      <c r="W218" s="139">
        <v>3.1</v>
      </c>
      <c r="X218" s="139">
        <v>6</v>
      </c>
    </row>
    <row r="219" spans="2:24" x14ac:dyDescent="0.3">
      <c r="B219" s="139">
        <v>216</v>
      </c>
      <c r="C219" s="139">
        <v>534</v>
      </c>
      <c r="D219" s="139" t="s">
        <v>872</v>
      </c>
      <c r="E219" s="151" t="s">
        <v>283</v>
      </c>
      <c r="F219" s="196" t="s">
        <v>873</v>
      </c>
      <c r="G219" s="95" t="s">
        <v>458</v>
      </c>
      <c r="H219" s="139">
        <v>27</v>
      </c>
      <c r="I219" s="139">
        <v>7</v>
      </c>
      <c r="J219" s="139">
        <v>0.73870000000000002</v>
      </c>
      <c r="K219" s="139">
        <v>0.73670000000000002</v>
      </c>
      <c r="L219" s="95" t="s">
        <v>459</v>
      </c>
      <c r="M219" s="139">
        <v>23</v>
      </c>
      <c r="N219" s="7">
        <v>0.25</v>
      </c>
      <c r="O219" s="152">
        <v>25.81</v>
      </c>
      <c r="P219" s="7">
        <v>84.98</v>
      </c>
      <c r="Q219" s="7">
        <v>31.05</v>
      </c>
      <c r="R219" s="139">
        <v>31.22</v>
      </c>
      <c r="S219" s="179">
        <f t="shared" si="6"/>
        <v>31.220306773449163</v>
      </c>
      <c r="T219" s="179">
        <f t="shared" si="7"/>
        <v>3.0677344916441029E-4</v>
      </c>
      <c r="U219" s="179"/>
      <c r="V219" s="150" t="s">
        <v>460</v>
      </c>
      <c r="W219" s="139">
        <v>7.2</v>
      </c>
      <c r="X219" s="139">
        <v>35</v>
      </c>
    </row>
    <row r="220" spans="2:24" x14ac:dyDescent="0.3">
      <c r="B220" s="139">
        <v>217</v>
      </c>
      <c r="C220" s="139">
        <v>535</v>
      </c>
      <c r="D220" s="139" t="s">
        <v>874</v>
      </c>
      <c r="E220" s="151" t="s">
        <v>283</v>
      </c>
      <c r="F220" s="196" t="s">
        <v>875</v>
      </c>
      <c r="G220" s="95" t="s">
        <v>458</v>
      </c>
      <c r="H220" s="139">
        <v>15</v>
      </c>
      <c r="I220" s="139">
        <v>7</v>
      </c>
      <c r="J220" s="139">
        <v>0.34189999999999998</v>
      </c>
      <c r="K220" s="139">
        <v>0.34079999999999999</v>
      </c>
      <c r="L220" s="95" t="s">
        <v>459</v>
      </c>
      <c r="M220" s="139">
        <v>9</v>
      </c>
      <c r="N220" s="7">
        <v>4.42</v>
      </c>
      <c r="O220" s="152">
        <v>26.92</v>
      </c>
      <c r="P220" s="7">
        <v>65.209999999999994</v>
      </c>
      <c r="Q220" s="7">
        <v>19.71</v>
      </c>
      <c r="R220" s="139">
        <v>26.41</v>
      </c>
      <c r="S220" s="179">
        <f t="shared" si="6"/>
        <v>26.408450704225352</v>
      </c>
      <c r="T220" s="179">
        <f t="shared" si="7"/>
        <v>1.5492957746481295E-3</v>
      </c>
      <c r="U220" s="179"/>
      <c r="V220" s="150" t="s">
        <v>460</v>
      </c>
      <c r="W220" s="139">
        <v>5.5</v>
      </c>
      <c r="X220" s="139">
        <v>18</v>
      </c>
    </row>
    <row r="221" spans="2:24" x14ac:dyDescent="0.3">
      <c r="B221" s="139">
        <v>218</v>
      </c>
      <c r="C221" s="139">
        <v>536</v>
      </c>
      <c r="D221" s="139" t="s">
        <v>876</v>
      </c>
      <c r="E221" s="151" t="s">
        <v>283</v>
      </c>
      <c r="F221" s="196" t="s">
        <v>877</v>
      </c>
      <c r="G221" s="95" t="s">
        <v>458</v>
      </c>
      <c r="H221" s="139">
        <v>5</v>
      </c>
      <c r="I221" s="139">
        <v>4</v>
      </c>
      <c r="J221" s="139">
        <v>0.14030000000000001</v>
      </c>
      <c r="K221" s="139">
        <v>0.14019999999999999</v>
      </c>
      <c r="L221" s="95" t="s">
        <v>459</v>
      </c>
      <c r="M221" s="214">
        <v>4</v>
      </c>
      <c r="N221" s="139">
        <v>6.11</v>
      </c>
      <c r="O221" s="152">
        <v>27.81</v>
      </c>
      <c r="P221" s="7">
        <v>62.42</v>
      </c>
      <c r="Q221" s="7">
        <v>18.010000000000002</v>
      </c>
      <c r="R221" s="7">
        <v>28.54</v>
      </c>
      <c r="S221" s="179">
        <f t="shared" si="6"/>
        <v>28.530670470756064</v>
      </c>
      <c r="T221" s="179">
        <f t="shared" si="7"/>
        <v>9.3295292439350419E-3</v>
      </c>
      <c r="U221" s="179"/>
      <c r="V221" s="150" t="s">
        <v>460</v>
      </c>
      <c r="W221" s="139">
        <v>20</v>
      </c>
      <c r="X221" s="139">
        <v>27</v>
      </c>
    </row>
    <row r="222" spans="2:24" x14ac:dyDescent="0.3">
      <c r="B222" s="139">
        <v>219</v>
      </c>
      <c r="C222" s="139">
        <v>537</v>
      </c>
      <c r="D222" s="139" t="s">
        <v>878</v>
      </c>
      <c r="E222" s="151" t="s">
        <v>283</v>
      </c>
      <c r="F222" s="196" t="s">
        <v>879</v>
      </c>
      <c r="G222" s="95" t="s">
        <v>458</v>
      </c>
      <c r="H222" s="139">
        <v>9</v>
      </c>
      <c r="I222" s="139">
        <v>6</v>
      </c>
      <c r="J222" s="139">
        <v>0.23680000000000001</v>
      </c>
      <c r="K222" s="139">
        <v>0.23469999999999999</v>
      </c>
      <c r="L222" s="95" t="s">
        <v>459</v>
      </c>
      <c r="M222" s="139">
        <v>10</v>
      </c>
      <c r="N222" s="7">
        <v>4.75</v>
      </c>
      <c r="O222" s="152">
        <v>45.33</v>
      </c>
      <c r="P222" s="7">
        <v>121.15</v>
      </c>
      <c r="Q222" s="7">
        <v>38.619999999999997</v>
      </c>
      <c r="R222" s="139">
        <v>42.6</v>
      </c>
      <c r="S222" s="179">
        <f t="shared" si="6"/>
        <v>42.607584149978699</v>
      </c>
      <c r="T222" s="179">
        <f t="shared" si="7"/>
        <v>7.5841499786974964E-3</v>
      </c>
      <c r="U222" s="179"/>
      <c r="V222" s="150" t="s">
        <v>460</v>
      </c>
      <c r="W222" s="139">
        <v>48</v>
      </c>
      <c r="X222" s="139">
        <v>100</v>
      </c>
    </row>
    <row r="223" spans="2:24" x14ac:dyDescent="0.3">
      <c r="B223" s="139">
        <v>220</v>
      </c>
      <c r="C223" s="139">
        <v>538</v>
      </c>
      <c r="D223" s="139" t="s">
        <v>880</v>
      </c>
      <c r="E223" s="151" t="s">
        <v>283</v>
      </c>
      <c r="F223" s="196" t="s">
        <v>881</v>
      </c>
      <c r="G223" s="95" t="s">
        <v>458</v>
      </c>
      <c r="H223" s="139">
        <v>14</v>
      </c>
      <c r="I223" s="139">
        <v>2</v>
      </c>
      <c r="J223" s="139">
        <v>0.44240000000000002</v>
      </c>
      <c r="K223" s="139">
        <v>0.44180000000000003</v>
      </c>
      <c r="L223" s="95" t="s">
        <v>459</v>
      </c>
      <c r="M223" s="139">
        <v>5</v>
      </c>
      <c r="N223" s="7">
        <v>4.5199999999999996</v>
      </c>
      <c r="O223" s="152">
        <v>11.39</v>
      </c>
      <c r="P223" s="7">
        <v>20.79</v>
      </c>
      <c r="Q223" s="7">
        <v>5.0599999999999996</v>
      </c>
      <c r="R223" s="139">
        <v>11.32</v>
      </c>
      <c r="S223" s="179">
        <f t="shared" si="6"/>
        <v>11.317338162064281</v>
      </c>
      <c r="T223" s="179">
        <f t="shared" si="7"/>
        <v>2.661837935718836E-3</v>
      </c>
      <c r="U223" s="179"/>
      <c r="V223" s="150" t="s">
        <v>460</v>
      </c>
      <c r="W223" s="139">
        <v>32</v>
      </c>
      <c r="X223" s="139">
        <v>113</v>
      </c>
    </row>
    <row r="224" spans="2:24" x14ac:dyDescent="0.3">
      <c r="B224" s="139">
        <v>221</v>
      </c>
      <c r="C224" s="139">
        <v>539</v>
      </c>
      <c r="D224" s="139" t="s">
        <v>882</v>
      </c>
      <c r="E224" s="151" t="s">
        <v>283</v>
      </c>
      <c r="F224" s="196" t="s">
        <v>883</v>
      </c>
      <c r="G224" s="95" t="s">
        <v>458</v>
      </c>
      <c r="H224" s="139">
        <v>7</v>
      </c>
      <c r="I224" s="139">
        <v>1</v>
      </c>
      <c r="J224" s="139">
        <v>2.4250000000000001E-2</v>
      </c>
      <c r="K224" s="139">
        <v>0.24229999999999999</v>
      </c>
      <c r="L224" s="95" t="s">
        <v>459</v>
      </c>
      <c r="M224" s="139">
        <v>2</v>
      </c>
      <c r="N224" s="7">
        <v>1.46</v>
      </c>
      <c r="O224" s="152">
        <v>8.25</v>
      </c>
      <c r="P224" s="7">
        <v>25.98</v>
      </c>
      <c r="Q224" s="7">
        <v>5.84</v>
      </c>
      <c r="R224" s="139">
        <v>8.25</v>
      </c>
      <c r="S224" s="179">
        <f t="shared" si="6"/>
        <v>8.2542302930251754</v>
      </c>
      <c r="T224" s="179">
        <f t="shared" si="7"/>
        <v>4.2302930251754134E-3</v>
      </c>
      <c r="U224" s="179"/>
      <c r="V224" s="150" t="s">
        <v>460</v>
      </c>
      <c r="W224" s="139">
        <v>4</v>
      </c>
      <c r="X224" s="139">
        <v>6</v>
      </c>
    </row>
    <row r="225" spans="2:24" x14ac:dyDescent="0.3">
      <c r="B225" s="139">
        <v>222</v>
      </c>
      <c r="C225" s="139">
        <v>540</v>
      </c>
      <c r="D225" s="139" t="s">
        <v>884</v>
      </c>
      <c r="E225" s="151" t="s">
        <v>283</v>
      </c>
      <c r="F225" s="196" t="s">
        <v>885</v>
      </c>
      <c r="G225" s="95" t="s">
        <v>458</v>
      </c>
      <c r="H225" s="139">
        <v>7</v>
      </c>
      <c r="I225" s="139">
        <v>1</v>
      </c>
      <c r="J225" s="139">
        <v>2.4250000000000001E-2</v>
      </c>
      <c r="K225" s="139">
        <v>0.24229999999999999</v>
      </c>
      <c r="L225" s="95" t="s">
        <v>459</v>
      </c>
      <c r="M225" s="139">
        <v>2</v>
      </c>
      <c r="N225" s="7">
        <v>1.46</v>
      </c>
      <c r="O225" s="152">
        <v>8.25</v>
      </c>
      <c r="P225" s="7">
        <v>25.98</v>
      </c>
      <c r="Q225" s="7">
        <v>5.84</v>
      </c>
      <c r="R225" s="139">
        <v>8.25</v>
      </c>
      <c r="S225" s="179">
        <f t="shared" si="6"/>
        <v>8.2542302930251754</v>
      </c>
      <c r="T225" s="179">
        <f t="shared" si="7"/>
        <v>4.2302930251754134E-3</v>
      </c>
      <c r="U225" s="179"/>
      <c r="V225" s="150" t="s">
        <v>460</v>
      </c>
      <c r="W225" s="139">
        <v>4</v>
      </c>
      <c r="X225" s="139">
        <v>6</v>
      </c>
    </row>
    <row r="226" spans="2:24" x14ac:dyDescent="0.3">
      <c r="B226" s="139">
        <v>223</v>
      </c>
      <c r="C226" s="139">
        <v>541</v>
      </c>
      <c r="D226" s="139" t="s">
        <v>886</v>
      </c>
      <c r="E226" s="151" t="s">
        <v>283</v>
      </c>
      <c r="F226" s="196" t="s">
        <v>887</v>
      </c>
      <c r="G226" s="95" t="s">
        <v>458</v>
      </c>
      <c r="H226" s="139">
        <v>48</v>
      </c>
      <c r="I226" s="139">
        <v>7</v>
      </c>
      <c r="J226" s="139">
        <v>1.0711999999999999</v>
      </c>
      <c r="K226" s="139">
        <v>1.0657000000000001</v>
      </c>
      <c r="L226" s="95" t="s">
        <v>459</v>
      </c>
      <c r="M226" s="139">
        <v>33</v>
      </c>
      <c r="N226" s="7">
        <v>3.92</v>
      </c>
      <c r="O226" s="152">
        <v>26.51</v>
      </c>
      <c r="P226" s="7">
        <v>65.849999999999994</v>
      </c>
      <c r="Q226" s="7">
        <v>20.2</v>
      </c>
      <c r="R226" s="139">
        <v>30.97</v>
      </c>
      <c r="S226" s="179">
        <f t="shared" si="6"/>
        <v>30.965562541052826</v>
      </c>
      <c r="T226" s="179">
        <f t="shared" si="7"/>
        <v>4.4374589471729564E-3</v>
      </c>
      <c r="U226" s="179"/>
      <c r="V226" s="150" t="s">
        <v>460</v>
      </c>
      <c r="W226" s="139">
        <v>4.8</v>
      </c>
      <c r="X226" s="139">
        <v>16</v>
      </c>
    </row>
    <row r="227" spans="2:24" x14ac:dyDescent="0.3">
      <c r="B227" s="139">
        <v>224</v>
      </c>
      <c r="C227" s="139">
        <v>542</v>
      </c>
      <c r="D227" s="139" t="s">
        <v>888</v>
      </c>
      <c r="E227" s="151" t="s">
        <v>283</v>
      </c>
      <c r="F227" s="196" t="s">
        <v>889</v>
      </c>
      <c r="G227" s="95" t="s">
        <v>458</v>
      </c>
      <c r="H227" s="139">
        <v>11</v>
      </c>
      <c r="I227" s="139">
        <v>2</v>
      </c>
      <c r="J227" s="139">
        <v>0.20150000000000001</v>
      </c>
      <c r="K227" s="139">
        <v>0.19950000000000001</v>
      </c>
      <c r="L227" s="95" t="s">
        <v>459</v>
      </c>
      <c r="M227" s="139">
        <v>3</v>
      </c>
      <c r="N227" s="7">
        <v>0.96</v>
      </c>
      <c r="O227" s="152">
        <v>13.04</v>
      </c>
      <c r="P227" s="7">
        <v>37.25</v>
      </c>
      <c r="Q227" s="7">
        <v>12.25</v>
      </c>
      <c r="R227" s="139">
        <v>15.04</v>
      </c>
      <c r="S227" s="179">
        <f t="shared" si="6"/>
        <v>15.037593984962406</v>
      </c>
      <c r="T227" s="179">
        <f t="shared" si="7"/>
        <v>2.4060150375930789E-3</v>
      </c>
      <c r="U227" s="179"/>
      <c r="V227" s="150" t="s">
        <v>460</v>
      </c>
      <c r="W227" s="139">
        <v>2.7</v>
      </c>
      <c r="X227" s="139">
        <v>6</v>
      </c>
    </row>
    <row r="228" spans="2:24" x14ac:dyDescent="0.3">
      <c r="B228" s="139">
        <v>225</v>
      </c>
      <c r="C228" s="139">
        <v>543</v>
      </c>
      <c r="D228" s="139" t="s">
        <v>890</v>
      </c>
      <c r="E228" s="151" t="s">
        <v>283</v>
      </c>
      <c r="F228" s="196" t="s">
        <v>891</v>
      </c>
      <c r="G228" s="95" t="s">
        <v>458</v>
      </c>
      <c r="H228" s="139">
        <v>24</v>
      </c>
      <c r="I228" s="139">
        <v>5</v>
      </c>
      <c r="J228" s="139">
        <v>0.54</v>
      </c>
      <c r="K228" s="139">
        <v>0.5373</v>
      </c>
      <c r="L228" s="95" t="s">
        <v>459</v>
      </c>
      <c r="M228" s="139">
        <v>18</v>
      </c>
      <c r="N228" s="7">
        <v>2.12</v>
      </c>
      <c r="O228" s="152">
        <v>30.62</v>
      </c>
      <c r="P228" s="7">
        <v>88.28</v>
      </c>
      <c r="Q228" s="7">
        <v>29.13</v>
      </c>
      <c r="R228" s="139">
        <v>33.5</v>
      </c>
      <c r="S228" s="179">
        <f t="shared" si="6"/>
        <v>33.50083752093802</v>
      </c>
      <c r="T228" s="179">
        <f t="shared" si="7"/>
        <v>8.3752093802047511E-4</v>
      </c>
      <c r="U228" s="179"/>
      <c r="V228" s="150" t="s">
        <v>460</v>
      </c>
      <c r="W228" s="139">
        <v>4.4000000000000004</v>
      </c>
      <c r="X228" s="139">
        <v>16</v>
      </c>
    </row>
    <row r="229" spans="2:24" x14ac:dyDescent="0.3">
      <c r="B229" s="139">
        <v>226</v>
      </c>
      <c r="C229" s="139">
        <v>544</v>
      </c>
      <c r="D229" s="139" t="s">
        <v>892</v>
      </c>
      <c r="E229" s="151" t="s">
        <v>283</v>
      </c>
      <c r="F229" s="196" t="s">
        <v>893</v>
      </c>
      <c r="G229" s="95" t="s">
        <v>458</v>
      </c>
      <c r="H229" s="139">
        <v>11</v>
      </c>
      <c r="I229" s="139">
        <v>6</v>
      </c>
      <c r="J229" s="139">
        <v>0.26300000000000001</v>
      </c>
      <c r="K229" s="139">
        <v>0.26219999999999999</v>
      </c>
      <c r="L229" s="95" t="s">
        <v>459</v>
      </c>
      <c r="M229" s="139">
        <v>8</v>
      </c>
      <c r="N229" s="7">
        <v>2.48</v>
      </c>
      <c r="O229" s="152">
        <v>29.73</v>
      </c>
      <c r="P229" s="7">
        <v>83.17</v>
      </c>
      <c r="Q229" s="7">
        <v>27.12</v>
      </c>
      <c r="R229" s="139">
        <v>30.51</v>
      </c>
      <c r="S229" s="179">
        <f t="shared" si="6"/>
        <v>30.511060259344013</v>
      </c>
      <c r="T229" s="179">
        <f t="shared" si="7"/>
        <v>1.0602593440118824E-3</v>
      </c>
      <c r="U229" s="179"/>
      <c r="V229" s="150" t="s">
        <v>460</v>
      </c>
      <c r="W229" s="139">
        <v>6.3</v>
      </c>
      <c r="X229" s="139">
        <v>14</v>
      </c>
    </row>
    <row r="230" spans="2:24" x14ac:dyDescent="0.3">
      <c r="B230" s="139">
        <v>227</v>
      </c>
      <c r="C230" s="139">
        <v>545</v>
      </c>
      <c r="D230" s="139" t="s">
        <v>894</v>
      </c>
      <c r="E230" s="151" t="s">
        <v>283</v>
      </c>
      <c r="F230" s="196" t="s">
        <v>895</v>
      </c>
      <c r="G230" s="95" t="s">
        <v>458</v>
      </c>
      <c r="H230" s="139">
        <v>1</v>
      </c>
      <c r="I230" s="139">
        <v>1</v>
      </c>
      <c r="J230" s="139">
        <v>4.0399999999999998E-2</v>
      </c>
      <c r="K230" s="139">
        <v>4.0399999999999998E-2</v>
      </c>
      <c r="L230" s="95" t="s">
        <v>459</v>
      </c>
      <c r="M230" s="139">
        <v>3</v>
      </c>
      <c r="N230" s="7">
        <v>20.3</v>
      </c>
      <c r="O230" s="152">
        <v>74.27</v>
      </c>
      <c r="P230" s="7">
        <v>191.99</v>
      </c>
      <c r="Q230" s="7">
        <v>42.88</v>
      </c>
      <c r="R230" s="139">
        <v>74.27</v>
      </c>
      <c r="S230" s="179">
        <f t="shared" si="6"/>
        <v>74.257425742574256</v>
      </c>
      <c r="T230" s="179">
        <f t="shared" si="7"/>
        <v>1.2574257425740143E-2</v>
      </c>
      <c r="U230" s="179"/>
      <c r="V230" s="150" t="s">
        <v>460</v>
      </c>
      <c r="W230" s="139">
        <v>2.2999999999999998</v>
      </c>
      <c r="X230" s="139">
        <v>4</v>
      </c>
    </row>
    <row r="231" spans="2:24" x14ac:dyDescent="0.3">
      <c r="B231" s="139">
        <v>228</v>
      </c>
      <c r="C231" s="139">
        <v>546</v>
      </c>
      <c r="D231" s="139" t="s">
        <v>896</v>
      </c>
      <c r="E231" s="151" t="s">
        <v>283</v>
      </c>
      <c r="F231" s="196" t="s">
        <v>897</v>
      </c>
      <c r="G231" s="95" t="s">
        <v>458</v>
      </c>
      <c r="H231" s="139">
        <v>1</v>
      </c>
      <c r="I231" s="139">
        <v>1</v>
      </c>
      <c r="J231" s="139">
        <v>2.63E-2</v>
      </c>
      <c r="K231" s="139">
        <v>2.63E-2</v>
      </c>
      <c r="L231" s="95" t="s">
        <v>459</v>
      </c>
      <c r="M231" s="139">
        <v>1</v>
      </c>
      <c r="N231" s="7">
        <v>1.9</v>
      </c>
      <c r="O231" s="152">
        <v>38.049999999999997</v>
      </c>
      <c r="P231" s="7">
        <v>180.56</v>
      </c>
      <c r="Q231" s="7">
        <v>38.049999999999997</v>
      </c>
      <c r="R231" s="139">
        <v>38.049999999999997</v>
      </c>
      <c r="S231" s="179">
        <f t="shared" si="6"/>
        <v>38.022813688212928</v>
      </c>
      <c r="T231" s="179">
        <f t="shared" si="7"/>
        <v>2.7186311787069428E-2</v>
      </c>
      <c r="U231" s="179"/>
      <c r="V231" s="150" t="s">
        <v>460</v>
      </c>
      <c r="W231" s="139">
        <v>16</v>
      </c>
      <c r="X231" s="139">
        <v>16</v>
      </c>
    </row>
    <row r="232" spans="2:24" x14ac:dyDescent="0.3">
      <c r="B232" s="139">
        <v>229</v>
      </c>
      <c r="C232" s="139">
        <v>547</v>
      </c>
      <c r="D232" s="139" t="s">
        <v>898</v>
      </c>
      <c r="E232" s="151" t="s">
        <v>283</v>
      </c>
      <c r="F232" s="196" t="s">
        <v>899</v>
      </c>
      <c r="G232" s="95" t="s">
        <v>458</v>
      </c>
      <c r="H232" s="139">
        <v>1</v>
      </c>
      <c r="I232" s="139">
        <v>1</v>
      </c>
      <c r="J232" s="139">
        <v>4.0399999999999998E-2</v>
      </c>
      <c r="K232" s="139">
        <v>4.0399999999999998E-2</v>
      </c>
      <c r="L232" s="95" t="s">
        <v>459</v>
      </c>
      <c r="M232" s="139">
        <v>2</v>
      </c>
      <c r="N232" s="7">
        <v>8.7899999999999991</v>
      </c>
      <c r="O232" s="152">
        <v>49.51</v>
      </c>
      <c r="P232" s="7">
        <v>155.85</v>
      </c>
      <c r="Q232" s="7">
        <v>35.01</v>
      </c>
      <c r="R232" s="139">
        <v>49.51</v>
      </c>
      <c r="S232" s="179">
        <f t="shared" si="6"/>
        <v>49.504950495049506</v>
      </c>
      <c r="T232" s="179">
        <f t="shared" si="7"/>
        <v>5.0495049504917233E-3</v>
      </c>
      <c r="U232" s="179"/>
      <c r="V232" s="150" t="s">
        <v>460</v>
      </c>
      <c r="W232" s="139">
        <v>6</v>
      </c>
      <c r="X232" s="139">
        <v>8</v>
      </c>
    </row>
    <row r="233" spans="2:24" x14ac:dyDescent="0.3">
      <c r="B233" s="139">
        <v>230</v>
      </c>
      <c r="C233" s="139">
        <v>548</v>
      </c>
      <c r="D233" s="139" t="s">
        <v>900</v>
      </c>
      <c r="E233" s="151" t="s">
        <v>283</v>
      </c>
      <c r="F233" s="196" t="s">
        <v>901</v>
      </c>
      <c r="G233" s="95" t="s">
        <v>458</v>
      </c>
      <c r="H233" s="139">
        <v>1</v>
      </c>
      <c r="I233" s="139">
        <v>1</v>
      </c>
      <c r="J233" s="139">
        <v>4.0399999999999998E-2</v>
      </c>
      <c r="K233" s="139">
        <v>4.0399999999999998E-2</v>
      </c>
      <c r="L233" s="95" t="s">
        <v>459</v>
      </c>
      <c r="M233" s="139">
        <v>2</v>
      </c>
      <c r="N233" s="7">
        <v>8.7899999999999991</v>
      </c>
      <c r="O233" s="152">
        <v>49.51</v>
      </c>
      <c r="P233" s="7">
        <v>155.85</v>
      </c>
      <c r="Q233" s="7">
        <v>35.01</v>
      </c>
      <c r="R233" s="139">
        <v>49.51</v>
      </c>
      <c r="S233" s="179">
        <f t="shared" si="6"/>
        <v>49.504950495049506</v>
      </c>
      <c r="T233" s="179">
        <f t="shared" si="7"/>
        <v>5.0495049504917233E-3</v>
      </c>
      <c r="U233" s="179"/>
      <c r="V233" s="150" t="s">
        <v>460</v>
      </c>
      <c r="W233" s="139">
        <v>6</v>
      </c>
      <c r="X233" s="139">
        <v>8</v>
      </c>
    </row>
    <row r="234" spans="2:24" x14ac:dyDescent="0.3">
      <c r="B234" s="139">
        <v>231</v>
      </c>
      <c r="C234" s="139">
        <v>549</v>
      </c>
      <c r="D234" s="139" t="s">
        <v>902</v>
      </c>
      <c r="E234" s="151" t="s">
        <v>283</v>
      </c>
      <c r="F234" s="196" t="s">
        <v>903</v>
      </c>
      <c r="G234" s="95" t="s">
        <v>458</v>
      </c>
      <c r="H234" s="139">
        <v>8</v>
      </c>
      <c r="I234" s="139">
        <v>1</v>
      </c>
      <c r="J234" s="139">
        <v>0.14019999999999999</v>
      </c>
      <c r="K234" s="139">
        <v>0.1386</v>
      </c>
      <c r="L234" s="95" t="s">
        <v>459</v>
      </c>
      <c r="M234" s="139">
        <v>4</v>
      </c>
      <c r="N234" s="7">
        <v>9.85</v>
      </c>
      <c r="O234" s="152">
        <v>28.87</v>
      </c>
      <c r="P234" s="139">
        <v>66.069999999999993</v>
      </c>
      <c r="Q234" s="139">
        <v>14.43</v>
      </c>
      <c r="R234" s="139">
        <v>28.87</v>
      </c>
      <c r="S234" s="179">
        <f t="shared" si="6"/>
        <v>28.860028860028859</v>
      </c>
      <c r="T234" s="179">
        <f t="shared" si="7"/>
        <v>9.9711399711424065E-3</v>
      </c>
      <c r="U234" s="179"/>
      <c r="V234" s="150" t="s">
        <v>460</v>
      </c>
      <c r="W234" s="139">
        <v>2.9</v>
      </c>
      <c r="X234" s="139">
        <v>4</v>
      </c>
    </row>
    <row r="235" spans="2:24" x14ac:dyDescent="0.3">
      <c r="B235" s="139">
        <v>232</v>
      </c>
      <c r="C235" s="139">
        <v>552</v>
      </c>
      <c r="D235" s="139" t="s">
        <v>904</v>
      </c>
      <c r="E235" s="151" t="s">
        <v>283</v>
      </c>
      <c r="F235" s="196" t="s">
        <v>905</v>
      </c>
      <c r="G235" s="95" t="s">
        <v>458</v>
      </c>
      <c r="H235" s="139">
        <v>8</v>
      </c>
      <c r="I235" s="139">
        <v>1</v>
      </c>
      <c r="J235" s="139">
        <v>0.14019999999999999</v>
      </c>
      <c r="K235" s="139">
        <v>0.1386</v>
      </c>
      <c r="L235" s="95" t="s">
        <v>459</v>
      </c>
      <c r="M235" s="139">
        <v>4</v>
      </c>
      <c r="N235" s="7">
        <v>9.85</v>
      </c>
      <c r="O235" s="152">
        <v>28.87</v>
      </c>
      <c r="P235" s="139">
        <v>66.069999999999993</v>
      </c>
      <c r="Q235" s="139">
        <v>14.43</v>
      </c>
      <c r="R235" s="139">
        <v>28.87</v>
      </c>
      <c r="S235" s="179">
        <f t="shared" si="6"/>
        <v>28.860028860028859</v>
      </c>
      <c r="T235" s="179">
        <f t="shared" si="7"/>
        <v>9.9711399711424065E-3</v>
      </c>
      <c r="U235" s="179"/>
      <c r="V235" s="150" t="s">
        <v>460</v>
      </c>
      <c r="W235" s="139">
        <v>2.9</v>
      </c>
      <c r="X235" s="139">
        <v>4</v>
      </c>
    </row>
    <row r="236" spans="2:24" x14ac:dyDescent="0.3">
      <c r="B236" s="139">
        <v>233</v>
      </c>
      <c r="C236" s="139">
        <v>553</v>
      </c>
      <c r="D236" s="139" t="s">
        <v>906</v>
      </c>
      <c r="E236" s="151" t="s">
        <v>283</v>
      </c>
      <c r="F236" s="196" t="s">
        <v>907</v>
      </c>
      <c r="G236" s="95" t="s">
        <v>458</v>
      </c>
      <c r="H236" s="139">
        <v>8</v>
      </c>
      <c r="I236" s="139">
        <v>1</v>
      </c>
      <c r="J236" s="139">
        <v>0.14019999999999999</v>
      </c>
      <c r="K236" s="139">
        <v>0.1386</v>
      </c>
      <c r="L236" s="95" t="s">
        <v>459</v>
      </c>
      <c r="M236" s="139">
        <v>4</v>
      </c>
      <c r="N236" s="7">
        <v>9.85</v>
      </c>
      <c r="O236" s="152">
        <v>28.87</v>
      </c>
      <c r="P236" s="139">
        <v>66.069999999999993</v>
      </c>
      <c r="Q236" s="139">
        <v>14.43</v>
      </c>
      <c r="R236" s="139">
        <v>28.87</v>
      </c>
      <c r="S236" s="179">
        <f t="shared" si="6"/>
        <v>28.860028860028859</v>
      </c>
      <c r="T236" s="179">
        <f t="shared" si="7"/>
        <v>9.9711399711424065E-3</v>
      </c>
      <c r="U236" s="179"/>
      <c r="V236" s="150" t="s">
        <v>460</v>
      </c>
      <c r="W236" s="139">
        <v>2.9</v>
      </c>
      <c r="X236" s="139">
        <v>4</v>
      </c>
    </row>
    <row r="237" spans="2:24" x14ac:dyDescent="0.3">
      <c r="B237" s="139">
        <v>234</v>
      </c>
      <c r="C237" s="139">
        <v>554</v>
      </c>
      <c r="D237" s="139" t="s">
        <v>908</v>
      </c>
      <c r="E237" s="151" t="s">
        <v>283</v>
      </c>
      <c r="F237" s="196" t="s">
        <v>909</v>
      </c>
      <c r="G237" s="95" t="s">
        <v>458</v>
      </c>
      <c r="H237" s="139">
        <v>32</v>
      </c>
      <c r="I237" s="139">
        <v>3</v>
      </c>
      <c r="J237" s="139">
        <v>0.55249999999999999</v>
      </c>
      <c r="K237" s="139">
        <v>0.55189999999999995</v>
      </c>
      <c r="L237" s="95" t="s">
        <v>459</v>
      </c>
      <c r="M237" s="139">
        <v>5</v>
      </c>
      <c r="N237" s="7">
        <v>0.13</v>
      </c>
      <c r="O237" s="209">
        <v>15.88</v>
      </c>
      <c r="P237" s="139">
        <v>53.56</v>
      </c>
      <c r="Q237" s="139">
        <v>19.68</v>
      </c>
      <c r="R237" s="139">
        <v>9.06</v>
      </c>
      <c r="S237" s="179">
        <f t="shared" si="6"/>
        <v>9.0596122485957604</v>
      </c>
      <c r="T237" s="179">
        <f t="shared" si="7"/>
        <v>3.8775140424007759E-4</v>
      </c>
      <c r="U237" s="179"/>
      <c r="V237" s="150" t="s">
        <v>460</v>
      </c>
      <c r="W237" s="150" t="s">
        <v>460</v>
      </c>
      <c r="X237" s="150" t="s">
        <v>460</v>
      </c>
    </row>
    <row r="238" spans="2:24" x14ac:dyDescent="0.3">
      <c r="B238" s="139">
        <v>235</v>
      </c>
      <c r="C238" s="139">
        <v>557</v>
      </c>
      <c r="D238" s="139" t="s">
        <v>910</v>
      </c>
      <c r="E238" s="151" t="s">
        <v>283</v>
      </c>
      <c r="F238" s="196" t="s">
        <v>911</v>
      </c>
      <c r="G238" s="95" t="s">
        <v>458</v>
      </c>
      <c r="H238" s="139">
        <v>32</v>
      </c>
      <c r="I238" s="139">
        <v>3</v>
      </c>
      <c r="J238" s="139">
        <v>0.55249999999999999</v>
      </c>
      <c r="K238" s="139">
        <v>0.55189999999999995</v>
      </c>
      <c r="L238" s="95" t="s">
        <v>459</v>
      </c>
      <c r="M238" s="139">
        <v>5</v>
      </c>
      <c r="N238" s="7">
        <v>0.13</v>
      </c>
      <c r="O238" s="209">
        <v>15.88</v>
      </c>
      <c r="P238" s="139">
        <v>53.56</v>
      </c>
      <c r="Q238" s="139">
        <v>19.68</v>
      </c>
      <c r="R238" s="139">
        <v>9.06</v>
      </c>
      <c r="S238" s="179">
        <f t="shared" si="6"/>
        <v>9.0596122485957604</v>
      </c>
      <c r="T238" s="179">
        <f t="shared" si="7"/>
        <v>3.8775140424007759E-4</v>
      </c>
      <c r="U238" s="179"/>
      <c r="V238" s="150" t="s">
        <v>460</v>
      </c>
      <c r="W238" s="150" t="s">
        <v>460</v>
      </c>
      <c r="X238" s="150" t="s">
        <v>460</v>
      </c>
    </row>
    <row r="239" spans="2:24" x14ac:dyDescent="0.3">
      <c r="B239" s="139">
        <v>236</v>
      </c>
      <c r="C239" s="139">
        <v>558</v>
      </c>
      <c r="D239" s="139" t="s">
        <v>912</v>
      </c>
      <c r="E239" s="151" t="s">
        <v>283</v>
      </c>
      <c r="F239" s="196" t="s">
        <v>913</v>
      </c>
      <c r="G239" s="95" t="s">
        <v>458</v>
      </c>
      <c r="H239" s="139">
        <v>17</v>
      </c>
      <c r="I239" s="139">
        <v>2</v>
      </c>
      <c r="J239" s="139">
        <v>0.29480000000000001</v>
      </c>
      <c r="K239" s="139">
        <v>0.2944</v>
      </c>
      <c r="L239" s="95" t="s">
        <v>459</v>
      </c>
      <c r="M239" s="139">
        <v>2</v>
      </c>
      <c r="N239" s="139">
        <v>0.15</v>
      </c>
      <c r="O239" s="209">
        <v>5.89</v>
      </c>
      <c r="P239" s="139">
        <v>18.059999999999999</v>
      </c>
      <c r="Q239" s="139">
        <v>6.3</v>
      </c>
      <c r="R239" s="139">
        <v>6.79</v>
      </c>
      <c r="S239" s="179">
        <f t="shared" si="6"/>
        <v>6.7934782608695654</v>
      </c>
      <c r="T239" s="179">
        <f t="shared" si="7"/>
        <v>3.4782608695653749E-3</v>
      </c>
      <c r="U239" s="179"/>
      <c r="V239" s="150" t="s">
        <v>460</v>
      </c>
      <c r="W239" s="150" t="s">
        <v>460</v>
      </c>
      <c r="X239" s="150" t="s">
        <v>460</v>
      </c>
    </row>
    <row r="240" spans="2:24" x14ac:dyDescent="0.3">
      <c r="B240" s="139">
        <v>237</v>
      </c>
      <c r="C240" s="139">
        <v>559</v>
      </c>
      <c r="D240" s="139" t="s">
        <v>914</v>
      </c>
      <c r="E240" s="151" t="s">
        <v>283</v>
      </c>
      <c r="F240" s="196" t="s">
        <v>915</v>
      </c>
      <c r="G240" s="95" t="s">
        <v>458</v>
      </c>
      <c r="H240" s="139">
        <v>15</v>
      </c>
      <c r="I240" s="139">
        <v>2</v>
      </c>
      <c r="J240" s="139">
        <v>0.25769999999999998</v>
      </c>
      <c r="K240" s="139">
        <v>0.25740000000000002</v>
      </c>
      <c r="L240" s="95" t="s">
        <v>459</v>
      </c>
      <c r="M240" s="139">
        <v>3</v>
      </c>
      <c r="N240" s="139">
        <v>0.09</v>
      </c>
      <c r="O240" s="209">
        <v>21.89</v>
      </c>
      <c r="P240" s="139">
        <v>83.87</v>
      </c>
      <c r="Q240" s="139">
        <v>30.9</v>
      </c>
      <c r="R240" s="139">
        <v>11.65</v>
      </c>
      <c r="S240" s="179">
        <f t="shared" si="6"/>
        <v>11.655011655011654</v>
      </c>
      <c r="T240" s="179">
        <f t="shared" si="7"/>
        <v>5.0116550116534597E-3</v>
      </c>
      <c r="U240" s="179"/>
      <c r="V240" s="150" t="s">
        <v>460</v>
      </c>
      <c r="W240" s="150" t="s">
        <v>460</v>
      </c>
      <c r="X240" s="150" t="s">
        <v>460</v>
      </c>
    </row>
    <row r="241" spans="2:24" x14ac:dyDescent="0.3">
      <c r="B241" s="139">
        <v>238</v>
      </c>
      <c r="C241" s="139">
        <v>560</v>
      </c>
      <c r="D241" s="139" t="s">
        <v>916</v>
      </c>
      <c r="E241" s="151" t="s">
        <v>283</v>
      </c>
      <c r="F241" s="196" t="s">
        <v>917</v>
      </c>
      <c r="G241" s="95" t="s">
        <v>458</v>
      </c>
      <c r="H241" s="139">
        <v>106</v>
      </c>
      <c r="I241" s="139">
        <v>4</v>
      </c>
      <c r="J241" s="139">
        <v>1.8484</v>
      </c>
      <c r="K241" s="139">
        <v>1.8484</v>
      </c>
      <c r="L241" s="95" t="s">
        <v>459</v>
      </c>
      <c r="M241" s="139">
        <v>0</v>
      </c>
      <c r="N241" s="210">
        <v>1E-3</v>
      </c>
      <c r="O241" s="209">
        <v>0.27</v>
      </c>
      <c r="P241" s="139">
        <v>1.02</v>
      </c>
      <c r="Q241" s="139">
        <v>0.38</v>
      </c>
      <c r="R241" s="150">
        <v>0</v>
      </c>
      <c r="S241" s="179">
        <f t="shared" si="6"/>
        <v>0</v>
      </c>
      <c r="T241" s="179">
        <f t="shared" si="7"/>
        <v>0</v>
      </c>
      <c r="U241" s="179"/>
      <c r="V241" s="150" t="s">
        <v>460</v>
      </c>
      <c r="W241" s="150" t="s">
        <v>460</v>
      </c>
      <c r="X241" s="150" t="s">
        <v>460</v>
      </c>
    </row>
    <row r="242" spans="2:24" x14ac:dyDescent="0.3">
      <c r="B242" s="139">
        <v>239</v>
      </c>
      <c r="C242" s="139">
        <v>561</v>
      </c>
      <c r="D242" s="139" t="s">
        <v>918</v>
      </c>
      <c r="E242" s="151" t="s">
        <v>283</v>
      </c>
      <c r="F242" s="196" t="s">
        <v>919</v>
      </c>
      <c r="G242" s="95" t="s">
        <v>458</v>
      </c>
      <c r="H242" s="139">
        <v>106</v>
      </c>
      <c r="I242" s="139">
        <v>4</v>
      </c>
      <c r="J242" s="139">
        <v>1.8484</v>
      </c>
      <c r="K242" s="139">
        <v>1.8484</v>
      </c>
      <c r="L242" s="95" t="s">
        <v>459</v>
      </c>
      <c r="M242" s="139">
        <v>0</v>
      </c>
      <c r="N242" s="210">
        <v>5.0000000000000001E-4</v>
      </c>
      <c r="O242" s="209">
        <v>0.13</v>
      </c>
      <c r="P242" s="139">
        <v>0.51</v>
      </c>
      <c r="Q242" s="139">
        <v>0.19</v>
      </c>
      <c r="R242" s="150">
        <v>0</v>
      </c>
      <c r="S242" s="179">
        <f t="shared" si="6"/>
        <v>0</v>
      </c>
      <c r="T242" s="179">
        <f t="shared" si="7"/>
        <v>0</v>
      </c>
      <c r="U242" s="179"/>
      <c r="V242" s="150" t="s">
        <v>460</v>
      </c>
      <c r="W242" s="150" t="s">
        <v>460</v>
      </c>
      <c r="X242" s="150" t="s">
        <v>460</v>
      </c>
    </row>
    <row r="243" spans="2:24" x14ac:dyDescent="0.3">
      <c r="B243" s="139">
        <v>240</v>
      </c>
      <c r="C243" s="139">
        <v>562</v>
      </c>
      <c r="D243" s="139" t="s">
        <v>920</v>
      </c>
      <c r="E243" s="151" t="s">
        <v>283</v>
      </c>
      <c r="F243" s="196" t="s">
        <v>921</v>
      </c>
      <c r="G243" s="95" t="s">
        <v>458</v>
      </c>
      <c r="H243" s="139">
        <v>49</v>
      </c>
      <c r="I243" s="139">
        <v>4</v>
      </c>
      <c r="J243" s="139">
        <v>0.84970000000000001</v>
      </c>
      <c r="K243" s="139">
        <v>0.84970000000000001</v>
      </c>
      <c r="L243" s="95" t="s">
        <v>459</v>
      </c>
      <c r="M243" s="139">
        <v>0</v>
      </c>
      <c r="N243" s="210">
        <v>4.0000000000000002E-4</v>
      </c>
      <c r="O243" s="209">
        <v>0.11</v>
      </c>
      <c r="P243" s="139">
        <v>0.42</v>
      </c>
      <c r="Q243" s="139">
        <v>0.15</v>
      </c>
      <c r="R243" s="150">
        <v>0</v>
      </c>
      <c r="S243" s="179">
        <f t="shared" si="6"/>
        <v>0</v>
      </c>
      <c r="T243" s="179">
        <f t="shared" si="7"/>
        <v>0</v>
      </c>
      <c r="U243" s="179"/>
      <c r="V243" s="150" t="s">
        <v>460</v>
      </c>
      <c r="W243" s="150" t="s">
        <v>460</v>
      </c>
      <c r="X243" s="150" t="s">
        <v>460</v>
      </c>
    </row>
    <row r="244" spans="2:24" x14ac:dyDescent="0.3">
      <c r="B244" s="139">
        <v>241</v>
      </c>
      <c r="C244" s="139">
        <v>563</v>
      </c>
      <c r="D244" s="139" t="s">
        <v>922</v>
      </c>
      <c r="E244" s="151" t="s">
        <v>283</v>
      </c>
      <c r="F244" s="196" t="s">
        <v>923</v>
      </c>
      <c r="G244" s="95" t="s">
        <v>458</v>
      </c>
      <c r="H244" s="139">
        <v>40</v>
      </c>
      <c r="I244" s="139">
        <v>4</v>
      </c>
      <c r="J244" s="139">
        <v>0.70079999999999998</v>
      </c>
      <c r="K244" s="139">
        <v>0.70079999999999998</v>
      </c>
      <c r="L244" s="95" t="s">
        <v>459</v>
      </c>
      <c r="M244" s="139">
        <v>0</v>
      </c>
      <c r="N244" s="210">
        <v>4.0000000000000002E-4</v>
      </c>
      <c r="O244" s="209">
        <v>0.11</v>
      </c>
      <c r="P244" s="139">
        <v>0.43</v>
      </c>
      <c r="Q244" s="139">
        <v>0.16</v>
      </c>
      <c r="R244" s="150">
        <v>0</v>
      </c>
      <c r="S244" s="179">
        <f t="shared" si="6"/>
        <v>0</v>
      </c>
      <c r="T244" s="179">
        <f t="shared" si="7"/>
        <v>0</v>
      </c>
      <c r="U244" s="179"/>
      <c r="V244" s="150" t="s">
        <v>460</v>
      </c>
      <c r="W244" s="150" t="s">
        <v>460</v>
      </c>
      <c r="X244" s="150" t="s">
        <v>460</v>
      </c>
    </row>
    <row r="245" spans="2:24" x14ac:dyDescent="0.3">
      <c r="B245" s="139">
        <v>242</v>
      </c>
      <c r="C245" s="139">
        <v>564</v>
      </c>
      <c r="D245" s="139" t="s">
        <v>924</v>
      </c>
      <c r="E245" s="151" t="s">
        <v>283</v>
      </c>
      <c r="F245" s="196" t="s">
        <v>925</v>
      </c>
      <c r="G245" s="95" t="s">
        <v>458</v>
      </c>
      <c r="H245" s="139">
        <v>11</v>
      </c>
      <c r="I245" s="139">
        <v>3</v>
      </c>
      <c r="J245" s="139">
        <v>0.19270000000000001</v>
      </c>
      <c r="K245" s="139">
        <v>0.19270000000000001</v>
      </c>
      <c r="L245" s="95" t="s">
        <v>459</v>
      </c>
      <c r="M245" s="139">
        <v>0</v>
      </c>
      <c r="N245" s="210">
        <v>5.0000000000000001E-4</v>
      </c>
      <c r="O245" s="209">
        <v>0.13</v>
      </c>
      <c r="P245" s="139">
        <v>0.49</v>
      </c>
      <c r="Q245" s="139">
        <v>0.18</v>
      </c>
      <c r="R245" s="150">
        <v>0</v>
      </c>
      <c r="S245" s="179">
        <f t="shared" si="6"/>
        <v>0</v>
      </c>
      <c r="T245" s="179">
        <f t="shared" si="7"/>
        <v>0</v>
      </c>
      <c r="U245" s="179"/>
      <c r="V245" s="150" t="s">
        <v>460</v>
      </c>
      <c r="W245" s="150" t="s">
        <v>460</v>
      </c>
      <c r="X245" s="150" t="s">
        <v>460</v>
      </c>
    </row>
    <row r="246" spans="2:24" x14ac:dyDescent="0.3">
      <c r="B246" s="139">
        <v>243</v>
      </c>
      <c r="C246" s="139">
        <v>565</v>
      </c>
      <c r="D246" s="139" t="s">
        <v>926</v>
      </c>
      <c r="E246" s="151" t="s">
        <v>283</v>
      </c>
      <c r="F246" s="196" t="s">
        <v>927</v>
      </c>
      <c r="G246" s="95" t="s">
        <v>458</v>
      </c>
      <c r="H246" s="139">
        <v>2</v>
      </c>
      <c r="I246" s="139">
        <v>1</v>
      </c>
      <c r="J246" s="139">
        <v>3.5000000000000003E-2</v>
      </c>
      <c r="K246" s="139">
        <v>3.5000000000000003E-2</v>
      </c>
      <c r="L246" s="95" t="s">
        <v>459</v>
      </c>
      <c r="M246" s="139">
        <v>0</v>
      </c>
      <c r="N246" s="210">
        <v>5.0000000000000001E-4</v>
      </c>
      <c r="O246" s="209">
        <v>0.13</v>
      </c>
      <c r="P246" s="139">
        <v>0.51</v>
      </c>
      <c r="Q246" s="139">
        <v>0.19</v>
      </c>
      <c r="R246" s="150">
        <v>0</v>
      </c>
      <c r="S246" s="179">
        <f t="shared" si="6"/>
        <v>0</v>
      </c>
      <c r="T246" s="179">
        <f t="shared" si="7"/>
        <v>0</v>
      </c>
      <c r="U246" s="179"/>
      <c r="V246" s="150" t="s">
        <v>460</v>
      </c>
      <c r="W246" s="150" t="s">
        <v>460</v>
      </c>
      <c r="X246" s="150" t="s">
        <v>460</v>
      </c>
    </row>
    <row r="247" spans="2:24" x14ac:dyDescent="0.3">
      <c r="B247" s="139">
        <v>244</v>
      </c>
      <c r="C247" s="139">
        <v>566</v>
      </c>
      <c r="D247" s="139" t="s">
        <v>928</v>
      </c>
      <c r="E247" s="151" t="s">
        <v>283</v>
      </c>
      <c r="F247" s="196" t="s">
        <v>929</v>
      </c>
      <c r="G247" s="95" t="s">
        <v>458</v>
      </c>
      <c r="H247" s="139">
        <v>4</v>
      </c>
      <c r="I247" s="139">
        <v>3</v>
      </c>
      <c r="J247" s="139">
        <v>7.0099999999999996E-2</v>
      </c>
      <c r="K247" s="139">
        <v>7.0099999999999996E-2</v>
      </c>
      <c r="L247" s="95" t="s">
        <v>459</v>
      </c>
      <c r="M247" s="139">
        <v>0</v>
      </c>
      <c r="N247" s="210">
        <v>5.0000000000000001E-4</v>
      </c>
      <c r="O247" s="209">
        <v>0.13</v>
      </c>
      <c r="P247" s="139">
        <v>0.5</v>
      </c>
      <c r="Q247" s="139">
        <v>0.19</v>
      </c>
      <c r="R247" s="150">
        <v>0</v>
      </c>
      <c r="S247" s="179">
        <f t="shared" si="6"/>
        <v>0</v>
      </c>
      <c r="T247" s="179">
        <f t="shared" si="7"/>
        <v>0</v>
      </c>
      <c r="U247" s="179"/>
      <c r="V247" s="150" t="s">
        <v>460</v>
      </c>
      <c r="W247" s="150" t="s">
        <v>460</v>
      </c>
      <c r="X247" s="150" t="s">
        <v>460</v>
      </c>
    </row>
    <row r="248" spans="2:24" x14ac:dyDescent="0.3">
      <c r="B248" s="139">
        <v>245</v>
      </c>
      <c r="C248" s="139">
        <v>567</v>
      </c>
      <c r="D248" s="139" t="s">
        <v>930</v>
      </c>
      <c r="E248" s="151" t="s">
        <v>283</v>
      </c>
      <c r="F248" s="196" t="s">
        <v>931</v>
      </c>
      <c r="G248" s="95" t="s">
        <v>458</v>
      </c>
      <c r="H248" s="139">
        <v>14</v>
      </c>
      <c r="I248" s="139">
        <v>1</v>
      </c>
      <c r="J248" s="139">
        <v>0.63490000000000002</v>
      </c>
      <c r="K248" s="139">
        <v>0.47339999999999999</v>
      </c>
      <c r="L248" s="95" t="s">
        <v>459</v>
      </c>
      <c r="M248" s="139">
        <v>3</v>
      </c>
      <c r="N248" s="139">
        <v>1.73</v>
      </c>
      <c r="O248" s="209">
        <v>6.34</v>
      </c>
      <c r="P248" s="139">
        <v>16.38</v>
      </c>
      <c r="Q248" s="139">
        <v>3.66</v>
      </c>
      <c r="R248" s="139">
        <v>6.34</v>
      </c>
      <c r="S248" s="179">
        <f t="shared" si="6"/>
        <v>6.3371356147021549</v>
      </c>
      <c r="T248" s="179">
        <f t="shared" si="7"/>
        <v>2.8643852978449402E-3</v>
      </c>
      <c r="U248" s="179"/>
      <c r="V248" s="150" t="s">
        <v>460</v>
      </c>
      <c r="W248" s="139">
        <v>3.3</v>
      </c>
      <c r="X248" s="139">
        <v>3.5</v>
      </c>
    </row>
    <row r="249" spans="2:24" x14ac:dyDescent="0.3">
      <c r="B249" s="139">
        <v>246</v>
      </c>
      <c r="C249" s="139">
        <v>570</v>
      </c>
      <c r="D249" s="139" t="s">
        <v>932</v>
      </c>
      <c r="E249" s="151" t="s">
        <v>283</v>
      </c>
      <c r="F249" s="196" t="s">
        <v>933</v>
      </c>
      <c r="G249" s="95" t="s">
        <v>458</v>
      </c>
      <c r="H249" s="139">
        <v>2</v>
      </c>
      <c r="I249" s="139">
        <v>1</v>
      </c>
      <c r="J249" s="139">
        <v>9.8500000000000004E-2</v>
      </c>
      <c r="K249" s="139">
        <v>7.1599999999999997E-2</v>
      </c>
      <c r="L249" s="95" t="s">
        <v>459</v>
      </c>
      <c r="M249" s="139">
        <v>0</v>
      </c>
      <c r="N249" s="139">
        <v>0.01</v>
      </c>
      <c r="O249" s="209">
        <v>3.32</v>
      </c>
      <c r="P249" s="139">
        <v>12.76</v>
      </c>
      <c r="Q249" s="139">
        <v>4.7</v>
      </c>
      <c r="R249" s="150">
        <v>0</v>
      </c>
      <c r="S249" s="179">
        <f t="shared" si="6"/>
        <v>0</v>
      </c>
      <c r="T249" s="179">
        <f t="shared" si="7"/>
        <v>0</v>
      </c>
      <c r="U249" s="179"/>
      <c r="V249" s="150" t="s">
        <v>460</v>
      </c>
      <c r="W249" s="150" t="s">
        <v>460</v>
      </c>
      <c r="X249" s="150" t="s">
        <v>460</v>
      </c>
    </row>
    <row r="250" spans="2:24" x14ac:dyDescent="0.3">
      <c r="B250" s="139">
        <v>247</v>
      </c>
      <c r="C250" s="139">
        <v>571</v>
      </c>
      <c r="D250" s="139" t="s">
        <v>934</v>
      </c>
      <c r="E250" s="151" t="s">
        <v>283</v>
      </c>
      <c r="F250" s="196" t="s">
        <v>935</v>
      </c>
      <c r="G250" s="95" t="s">
        <v>458</v>
      </c>
      <c r="H250" s="139">
        <v>2</v>
      </c>
      <c r="I250" s="139">
        <v>1</v>
      </c>
      <c r="J250" s="139">
        <v>9.8500000000000004E-2</v>
      </c>
      <c r="K250" s="139">
        <v>7.1599999999999997E-2</v>
      </c>
      <c r="L250" s="95" t="s">
        <v>459</v>
      </c>
      <c r="M250" s="139">
        <v>0</v>
      </c>
      <c r="N250" s="139">
        <v>0.01</v>
      </c>
      <c r="O250" s="209">
        <v>2.25</v>
      </c>
      <c r="P250" s="139">
        <v>8.64</v>
      </c>
      <c r="Q250" s="139">
        <v>3.18</v>
      </c>
      <c r="R250" s="150">
        <v>0</v>
      </c>
      <c r="S250" s="179">
        <f t="shared" si="6"/>
        <v>0</v>
      </c>
      <c r="T250" s="179">
        <f t="shared" si="7"/>
        <v>0</v>
      </c>
      <c r="U250" s="179"/>
      <c r="V250" s="150" t="s">
        <v>460</v>
      </c>
      <c r="W250" s="150" t="s">
        <v>460</v>
      </c>
      <c r="X250" s="150" t="s">
        <v>460</v>
      </c>
    </row>
    <row r="251" spans="2:24" x14ac:dyDescent="0.3">
      <c r="B251" s="139">
        <v>248</v>
      </c>
      <c r="C251" s="139">
        <v>572</v>
      </c>
      <c r="D251" s="139" t="s">
        <v>936</v>
      </c>
      <c r="E251" s="151" t="s">
        <v>283</v>
      </c>
      <c r="F251" s="196" t="s">
        <v>937</v>
      </c>
      <c r="G251" s="95" t="s">
        <v>458</v>
      </c>
      <c r="H251" s="139">
        <v>12</v>
      </c>
      <c r="I251" s="139">
        <v>1</v>
      </c>
      <c r="J251" s="139">
        <v>0.53639999999999999</v>
      </c>
      <c r="K251" s="139">
        <v>0.40179999999999999</v>
      </c>
      <c r="L251" s="95" t="s">
        <v>459</v>
      </c>
      <c r="M251" s="139">
        <v>3</v>
      </c>
      <c r="N251" s="139">
        <v>2.04</v>
      </c>
      <c r="O251" s="209">
        <v>7.47</v>
      </c>
      <c r="P251" s="139">
        <v>19.3</v>
      </c>
      <c r="Q251" s="139">
        <v>4.3099999999999996</v>
      </c>
      <c r="R251" s="139">
        <v>7.47</v>
      </c>
      <c r="S251" s="179">
        <f t="shared" si="6"/>
        <v>7.4664011946241917</v>
      </c>
      <c r="T251" s="179">
        <f t="shared" si="7"/>
        <v>3.5988053758080341E-3</v>
      </c>
      <c r="U251" s="179"/>
      <c r="V251" s="150" t="s">
        <v>460</v>
      </c>
      <c r="W251" s="139">
        <v>3.3</v>
      </c>
      <c r="X251" s="139">
        <v>3.5</v>
      </c>
    </row>
    <row r="252" spans="2:24" x14ac:dyDescent="0.3">
      <c r="B252" s="139">
        <v>249</v>
      </c>
      <c r="C252" s="139">
        <v>573</v>
      </c>
      <c r="D252" s="139" t="s">
        <v>938</v>
      </c>
      <c r="E252" s="151" t="s">
        <v>283</v>
      </c>
      <c r="F252" s="196" t="s">
        <v>939</v>
      </c>
      <c r="G252" s="95" t="s">
        <v>458</v>
      </c>
      <c r="H252" s="139">
        <v>12</v>
      </c>
      <c r="I252" s="139">
        <v>1</v>
      </c>
      <c r="J252" s="139">
        <v>0.53639999999999999</v>
      </c>
      <c r="K252" s="139">
        <v>0.40179999999999999</v>
      </c>
      <c r="L252" s="95" t="s">
        <v>459</v>
      </c>
      <c r="M252" s="139">
        <v>3</v>
      </c>
      <c r="N252" s="139">
        <v>2.04</v>
      </c>
      <c r="O252" s="209">
        <v>7.47</v>
      </c>
      <c r="P252" s="139">
        <v>19.3</v>
      </c>
      <c r="Q252" s="139">
        <v>4.3099999999999996</v>
      </c>
      <c r="R252" s="139">
        <v>7.47</v>
      </c>
      <c r="S252" s="179">
        <f t="shared" si="6"/>
        <v>7.4664011946241917</v>
      </c>
      <c r="T252" s="179">
        <f t="shared" si="7"/>
        <v>3.5988053758080341E-3</v>
      </c>
      <c r="U252" s="179"/>
      <c r="V252" s="150" t="s">
        <v>460</v>
      </c>
      <c r="W252" s="139">
        <v>3.3</v>
      </c>
      <c r="X252" s="139">
        <v>3.5</v>
      </c>
    </row>
    <row r="253" spans="2:24" x14ac:dyDescent="0.3">
      <c r="B253" s="139">
        <v>250</v>
      </c>
      <c r="C253" s="139">
        <v>574</v>
      </c>
      <c r="D253" s="139" t="s">
        <v>940</v>
      </c>
      <c r="E253" s="151" t="s">
        <v>283</v>
      </c>
      <c r="F253" s="196" t="s">
        <v>941</v>
      </c>
      <c r="G253" s="95" t="s">
        <v>458</v>
      </c>
      <c r="H253" s="139">
        <v>60</v>
      </c>
      <c r="I253" s="139">
        <v>7</v>
      </c>
      <c r="J253" s="139">
        <v>2.4954000000000001</v>
      </c>
      <c r="K253" s="139">
        <v>1.849</v>
      </c>
      <c r="L253" s="95" t="s">
        <v>459</v>
      </c>
      <c r="M253" s="139">
        <v>37</v>
      </c>
      <c r="N253" s="139">
        <v>3.81</v>
      </c>
      <c r="O253" s="209">
        <v>14.18</v>
      </c>
      <c r="P253" s="139">
        <v>29.92</v>
      </c>
      <c r="Q253" s="139">
        <v>8.27</v>
      </c>
      <c r="R253" s="139">
        <v>20.010000000000002</v>
      </c>
      <c r="S253" s="179">
        <f t="shared" si="6"/>
        <v>20.010816657652786</v>
      </c>
      <c r="T253" s="179">
        <f t="shared" si="7"/>
        <v>8.1665765278415847E-4</v>
      </c>
      <c r="U253" s="179"/>
      <c r="V253" s="150" t="s">
        <v>460</v>
      </c>
      <c r="W253" s="139">
        <v>4.2</v>
      </c>
      <c r="X253" s="139">
        <v>13</v>
      </c>
    </row>
    <row r="254" spans="2:24" x14ac:dyDescent="0.3">
      <c r="B254" s="139">
        <v>251</v>
      </c>
      <c r="C254" s="139">
        <v>577</v>
      </c>
      <c r="D254" s="139" t="s">
        <v>942</v>
      </c>
      <c r="E254" s="151" t="s">
        <v>283</v>
      </c>
      <c r="F254" s="196" t="s">
        <v>943</v>
      </c>
      <c r="G254" s="95" t="s">
        <v>458</v>
      </c>
      <c r="H254" s="139">
        <v>15</v>
      </c>
      <c r="I254" s="139">
        <v>6</v>
      </c>
      <c r="J254" s="139">
        <v>0.36899999999999999</v>
      </c>
      <c r="K254" s="139">
        <v>0.30170000000000002</v>
      </c>
      <c r="L254" s="95" t="s">
        <v>459</v>
      </c>
      <c r="M254" s="139">
        <v>4</v>
      </c>
      <c r="N254" s="139">
        <v>0.91</v>
      </c>
      <c r="O254" s="209">
        <v>10.18</v>
      </c>
      <c r="P254" s="139">
        <v>28.13</v>
      </c>
      <c r="Q254" s="139">
        <v>9.1199999999999992</v>
      </c>
      <c r="R254" s="139">
        <v>13.26</v>
      </c>
      <c r="S254" s="179">
        <f t="shared" si="6"/>
        <v>13.258203513423931</v>
      </c>
      <c r="T254" s="179">
        <f t="shared" si="7"/>
        <v>1.7964865760689008E-3</v>
      </c>
      <c r="U254" s="179"/>
      <c r="V254" s="150" t="s">
        <v>460</v>
      </c>
      <c r="W254" s="139">
        <v>2.1</v>
      </c>
      <c r="X254" s="139">
        <v>2.5</v>
      </c>
    </row>
    <row r="255" spans="2:24" x14ac:dyDescent="0.3">
      <c r="B255" s="139">
        <v>252</v>
      </c>
      <c r="C255" s="139">
        <v>578</v>
      </c>
      <c r="D255" s="139" t="s">
        <v>944</v>
      </c>
      <c r="E255" s="151" t="s">
        <v>283</v>
      </c>
      <c r="F255" s="196" t="s">
        <v>945</v>
      </c>
      <c r="G255" s="95" t="s">
        <v>458</v>
      </c>
      <c r="H255" s="139">
        <v>10</v>
      </c>
      <c r="I255" s="139">
        <v>3</v>
      </c>
      <c r="J255" s="139">
        <v>0.24959999999999999</v>
      </c>
      <c r="K255" s="139">
        <v>0.1958</v>
      </c>
      <c r="L255" s="95" t="s">
        <v>459</v>
      </c>
      <c r="M255" s="139">
        <v>4</v>
      </c>
      <c r="N255" s="139">
        <v>0.67</v>
      </c>
      <c r="O255" s="209">
        <v>15.87</v>
      </c>
      <c r="P255" s="139">
        <v>47.72</v>
      </c>
      <c r="Q255" s="139">
        <v>16.12</v>
      </c>
      <c r="R255" s="139">
        <v>20.43</v>
      </c>
      <c r="S255" s="179">
        <f t="shared" si="6"/>
        <v>20.429009193054135</v>
      </c>
      <c r="T255" s="179">
        <f t="shared" si="7"/>
        <v>9.9080694586461959E-4</v>
      </c>
      <c r="U255" s="179"/>
      <c r="V255" s="150" t="s">
        <v>460</v>
      </c>
      <c r="W255" s="139">
        <v>2.1</v>
      </c>
      <c r="X255" s="139">
        <v>2.5</v>
      </c>
    </row>
    <row r="256" spans="2:24" x14ac:dyDescent="0.3">
      <c r="B256" s="139">
        <v>253</v>
      </c>
      <c r="C256" s="139">
        <v>579</v>
      </c>
      <c r="D256" s="139" t="s">
        <v>946</v>
      </c>
      <c r="E256" s="151" t="s">
        <v>283</v>
      </c>
      <c r="F256" s="196" t="s">
        <v>947</v>
      </c>
      <c r="G256" s="95" t="s">
        <v>458</v>
      </c>
      <c r="H256" s="139">
        <v>3</v>
      </c>
      <c r="I256" s="139">
        <v>3</v>
      </c>
      <c r="J256" s="139">
        <v>6.6799999999999998E-2</v>
      </c>
      <c r="K256" s="139">
        <v>5.33E-2</v>
      </c>
      <c r="L256" s="95" t="s">
        <v>459</v>
      </c>
      <c r="M256" s="139">
        <v>0</v>
      </c>
      <c r="N256" s="139">
        <v>0.02</v>
      </c>
      <c r="O256" s="209">
        <v>4.88</v>
      </c>
      <c r="P256" s="139">
        <v>18.75</v>
      </c>
      <c r="Q256" s="139">
        <v>6.9</v>
      </c>
      <c r="R256" s="150">
        <v>0</v>
      </c>
      <c r="S256" s="179">
        <f t="shared" si="6"/>
        <v>0</v>
      </c>
      <c r="T256" s="179">
        <f t="shared" si="7"/>
        <v>0</v>
      </c>
      <c r="U256" s="179"/>
      <c r="V256" s="150" t="s">
        <v>460</v>
      </c>
      <c r="W256" s="150" t="s">
        <v>460</v>
      </c>
      <c r="X256" s="150" t="s">
        <v>460</v>
      </c>
    </row>
    <row r="257" spans="2:24" x14ac:dyDescent="0.3">
      <c r="B257" s="139">
        <v>254</v>
      </c>
      <c r="C257" s="139">
        <v>580</v>
      </c>
      <c r="D257" s="139" t="s">
        <v>948</v>
      </c>
      <c r="E257" s="151" t="s">
        <v>283</v>
      </c>
      <c r="F257" s="196" t="s">
        <v>949</v>
      </c>
      <c r="G257" s="95" t="s">
        <v>458</v>
      </c>
      <c r="H257" s="139">
        <v>2</v>
      </c>
      <c r="I257" s="139">
        <v>1</v>
      </c>
      <c r="J257" s="139">
        <v>5.2600000000000001E-2</v>
      </c>
      <c r="K257" s="139">
        <v>5.2600000000000001E-2</v>
      </c>
      <c r="L257" s="95" t="s">
        <v>459</v>
      </c>
      <c r="M257" s="139">
        <v>0</v>
      </c>
      <c r="N257" s="139">
        <v>0.02</v>
      </c>
      <c r="O257" s="209">
        <v>4.92</v>
      </c>
      <c r="P257" s="139">
        <v>18.89</v>
      </c>
      <c r="Q257" s="139">
        <v>6.96</v>
      </c>
      <c r="R257" s="150">
        <v>0</v>
      </c>
      <c r="S257" s="179">
        <f t="shared" si="6"/>
        <v>0</v>
      </c>
      <c r="T257" s="179">
        <f t="shared" si="7"/>
        <v>0</v>
      </c>
      <c r="U257" s="179"/>
      <c r="V257" s="150" t="s">
        <v>460</v>
      </c>
      <c r="W257" s="150" t="s">
        <v>460</v>
      </c>
      <c r="X257" s="150" t="s">
        <v>460</v>
      </c>
    </row>
    <row r="258" spans="2:24" x14ac:dyDescent="0.3">
      <c r="B258" s="139">
        <v>255</v>
      </c>
      <c r="C258" s="139">
        <v>581</v>
      </c>
      <c r="D258" s="139" t="s">
        <v>950</v>
      </c>
      <c r="E258" s="151" t="s">
        <v>283</v>
      </c>
      <c r="F258" s="196" t="s">
        <v>951</v>
      </c>
      <c r="G258" s="95" t="s">
        <v>458</v>
      </c>
      <c r="H258" s="139">
        <v>3</v>
      </c>
      <c r="I258" s="139">
        <v>1</v>
      </c>
      <c r="J258" s="139">
        <v>0.14779999999999999</v>
      </c>
      <c r="K258" s="139">
        <v>0.1074</v>
      </c>
      <c r="L258" s="95" t="s">
        <v>459</v>
      </c>
      <c r="M258" s="139">
        <v>2</v>
      </c>
      <c r="N258" s="139">
        <v>3.3</v>
      </c>
      <c r="O258" s="209">
        <v>18.62</v>
      </c>
      <c r="P258" s="139">
        <v>58.6</v>
      </c>
      <c r="Q258" s="139">
        <v>13.16</v>
      </c>
      <c r="R258" s="139">
        <v>18.62</v>
      </c>
      <c r="S258" s="179">
        <f t="shared" si="6"/>
        <v>18.6219739292365</v>
      </c>
      <c r="T258" s="179">
        <f t="shared" si="7"/>
        <v>1.9739292364988614E-3</v>
      </c>
      <c r="U258" s="179"/>
      <c r="V258" s="150" t="s">
        <v>460</v>
      </c>
      <c r="W258" s="139">
        <v>3</v>
      </c>
      <c r="X258" s="139">
        <v>4</v>
      </c>
    </row>
    <row r="259" spans="2:24" x14ac:dyDescent="0.3">
      <c r="B259" s="139">
        <v>256</v>
      </c>
      <c r="C259" s="139">
        <v>582</v>
      </c>
      <c r="D259" s="139" t="s">
        <v>952</v>
      </c>
      <c r="E259" s="151" t="s">
        <v>283</v>
      </c>
      <c r="F259" s="196" t="s">
        <v>953</v>
      </c>
      <c r="G259" s="95" t="s">
        <v>458</v>
      </c>
      <c r="H259" s="139">
        <v>3</v>
      </c>
      <c r="I259" s="139">
        <v>1</v>
      </c>
      <c r="J259" s="139">
        <v>0.14779999999999999</v>
      </c>
      <c r="K259" s="139">
        <v>0.1074</v>
      </c>
      <c r="L259" s="95" t="s">
        <v>459</v>
      </c>
      <c r="M259" s="139">
        <v>2</v>
      </c>
      <c r="N259" s="139">
        <v>3.3</v>
      </c>
      <c r="O259" s="209">
        <v>18.62</v>
      </c>
      <c r="P259" s="139">
        <v>58.6</v>
      </c>
      <c r="Q259" s="139">
        <v>13.16</v>
      </c>
      <c r="R259" s="139">
        <v>18.62</v>
      </c>
      <c r="S259" s="179">
        <f t="shared" si="6"/>
        <v>18.6219739292365</v>
      </c>
      <c r="T259" s="179">
        <f t="shared" si="7"/>
        <v>1.9739292364988614E-3</v>
      </c>
      <c r="U259" s="179"/>
      <c r="V259" s="150" t="s">
        <v>460</v>
      </c>
      <c r="W259" s="139">
        <v>3</v>
      </c>
      <c r="X259" s="139">
        <v>4</v>
      </c>
    </row>
    <row r="260" spans="2:24" x14ac:dyDescent="0.3">
      <c r="B260" s="139">
        <v>257</v>
      </c>
      <c r="C260" s="139">
        <v>583</v>
      </c>
      <c r="D260" s="139" t="s">
        <v>954</v>
      </c>
      <c r="E260" s="151" t="s">
        <v>283</v>
      </c>
      <c r="F260" s="196" t="s">
        <v>955</v>
      </c>
      <c r="G260" s="95" t="s">
        <v>458</v>
      </c>
      <c r="H260" s="139">
        <v>2</v>
      </c>
      <c r="I260" s="139">
        <v>1</v>
      </c>
      <c r="J260" s="139">
        <v>9.8500000000000004E-2</v>
      </c>
      <c r="K260" s="139">
        <v>7.1599999999999997E-2</v>
      </c>
      <c r="L260" s="95" t="s">
        <v>459</v>
      </c>
      <c r="M260" s="139">
        <v>0</v>
      </c>
      <c r="N260" s="139">
        <v>0.02</v>
      </c>
      <c r="O260" s="209">
        <v>4.68</v>
      </c>
      <c r="P260" s="139">
        <v>17.96</v>
      </c>
      <c r="Q260" s="139">
        <v>6.62</v>
      </c>
      <c r="R260" s="150">
        <v>0</v>
      </c>
      <c r="S260" s="179">
        <f t="shared" si="6"/>
        <v>0</v>
      </c>
      <c r="T260" s="179">
        <f t="shared" si="7"/>
        <v>0</v>
      </c>
      <c r="U260" s="179"/>
      <c r="V260" s="150" t="s">
        <v>460</v>
      </c>
      <c r="W260" s="150" t="s">
        <v>460</v>
      </c>
      <c r="X260" s="150" t="s">
        <v>460</v>
      </c>
    </row>
    <row r="261" spans="2:24" x14ac:dyDescent="0.3">
      <c r="B261" s="139">
        <v>258</v>
      </c>
      <c r="C261" s="139">
        <v>584</v>
      </c>
      <c r="D261" s="139" t="s">
        <v>956</v>
      </c>
      <c r="E261" s="151" t="s">
        <v>283</v>
      </c>
      <c r="F261" s="196" t="s">
        <v>957</v>
      </c>
      <c r="G261" s="95" t="s">
        <v>458</v>
      </c>
      <c r="H261" s="139">
        <v>2</v>
      </c>
      <c r="I261" s="139">
        <v>1</v>
      </c>
      <c r="J261" s="139">
        <v>9.8500000000000004E-2</v>
      </c>
      <c r="K261" s="139">
        <v>7.1599999999999997E-2</v>
      </c>
      <c r="L261" s="95" t="s">
        <v>459</v>
      </c>
      <c r="M261" s="139">
        <v>0</v>
      </c>
      <c r="N261" s="139">
        <v>0.01</v>
      </c>
      <c r="O261" s="209">
        <v>2.8</v>
      </c>
      <c r="P261" s="139">
        <v>10.76</v>
      </c>
      <c r="Q261" s="139">
        <v>3.96</v>
      </c>
      <c r="R261" s="150">
        <v>0</v>
      </c>
      <c r="S261" s="179">
        <f t="shared" ref="S261:S324" si="8">M261/K261</f>
        <v>0</v>
      </c>
      <c r="T261" s="179">
        <f t="shared" ref="T261:T324" si="9">ABS(R261-S261)</f>
        <v>0</v>
      </c>
      <c r="U261" s="179"/>
      <c r="V261" s="150" t="s">
        <v>460</v>
      </c>
      <c r="W261" s="150" t="s">
        <v>460</v>
      </c>
      <c r="X261" s="150" t="s">
        <v>460</v>
      </c>
    </row>
    <row r="262" spans="2:24" x14ac:dyDescent="0.3">
      <c r="B262" s="139">
        <v>259</v>
      </c>
      <c r="C262" s="139">
        <v>585</v>
      </c>
      <c r="D262" s="139" t="s">
        <v>958</v>
      </c>
      <c r="E262" s="151" t="s">
        <v>283</v>
      </c>
      <c r="F262" s="196" t="s">
        <v>959</v>
      </c>
      <c r="G262" s="95" t="s">
        <v>458</v>
      </c>
      <c r="H262" s="139">
        <v>2</v>
      </c>
      <c r="I262" s="139">
        <v>2</v>
      </c>
      <c r="J262" s="139">
        <v>3.5099999999999999E-2</v>
      </c>
      <c r="K262" s="139">
        <v>3.5000000000000003E-2</v>
      </c>
      <c r="L262" s="95" t="s">
        <v>459</v>
      </c>
      <c r="M262" s="139">
        <v>0</v>
      </c>
      <c r="N262" s="139">
        <v>0.03</v>
      </c>
      <c r="O262" s="209">
        <v>7.11</v>
      </c>
      <c r="P262" s="139">
        <v>27.31</v>
      </c>
      <c r="Q262" s="139">
        <v>10.06</v>
      </c>
      <c r="R262" s="150">
        <v>0</v>
      </c>
      <c r="S262" s="179">
        <f t="shared" si="8"/>
        <v>0</v>
      </c>
      <c r="T262" s="179">
        <f t="shared" si="9"/>
        <v>0</v>
      </c>
      <c r="U262" s="179"/>
      <c r="V262" s="150" t="s">
        <v>460</v>
      </c>
      <c r="W262" s="150" t="s">
        <v>460</v>
      </c>
      <c r="X262" s="150" t="s">
        <v>460</v>
      </c>
    </row>
    <row r="263" spans="2:24" x14ac:dyDescent="0.3">
      <c r="B263" s="139">
        <v>260</v>
      </c>
      <c r="C263" s="139">
        <v>586</v>
      </c>
      <c r="D263" s="139" t="s">
        <v>960</v>
      </c>
      <c r="E263" s="151" t="s">
        <v>283</v>
      </c>
      <c r="F263" s="196" t="s">
        <v>961</v>
      </c>
      <c r="G263" s="95" t="s">
        <v>458</v>
      </c>
      <c r="H263" s="139">
        <v>2</v>
      </c>
      <c r="I263" s="139">
        <v>2</v>
      </c>
      <c r="J263" s="139">
        <v>3.5099999999999999E-2</v>
      </c>
      <c r="K263" s="139">
        <v>3.5000000000000003E-2</v>
      </c>
      <c r="L263" s="95" t="s">
        <v>459</v>
      </c>
      <c r="M263" s="139">
        <v>0</v>
      </c>
      <c r="N263" s="139">
        <v>0.02</v>
      </c>
      <c r="O263" s="209">
        <v>4.75</v>
      </c>
      <c r="P263" s="139">
        <v>18.23</v>
      </c>
      <c r="Q263" s="139">
        <v>6.71</v>
      </c>
      <c r="R263" s="150">
        <v>0</v>
      </c>
      <c r="S263" s="179">
        <f t="shared" si="8"/>
        <v>0</v>
      </c>
      <c r="T263" s="179">
        <f t="shared" si="9"/>
        <v>0</v>
      </c>
      <c r="U263" s="179"/>
      <c r="V263" s="150" t="s">
        <v>460</v>
      </c>
      <c r="W263" s="150" t="s">
        <v>460</v>
      </c>
      <c r="X263" s="150" t="s">
        <v>460</v>
      </c>
    </row>
    <row r="264" spans="2:24" x14ac:dyDescent="0.3">
      <c r="B264" s="139">
        <v>261</v>
      </c>
      <c r="C264" s="139">
        <v>587</v>
      </c>
      <c r="D264" s="139" t="s">
        <v>962</v>
      </c>
      <c r="E264" s="151" t="s">
        <v>283</v>
      </c>
      <c r="F264" s="196" t="s">
        <v>963</v>
      </c>
      <c r="G264" s="95" t="s">
        <v>458</v>
      </c>
      <c r="H264" s="139">
        <v>38</v>
      </c>
      <c r="I264" s="139">
        <v>1</v>
      </c>
      <c r="J264" s="139">
        <v>1.8449</v>
      </c>
      <c r="K264" s="139">
        <v>1.3331999999999999</v>
      </c>
      <c r="L264" s="95" t="s">
        <v>459</v>
      </c>
      <c r="M264" s="139">
        <v>31</v>
      </c>
      <c r="N264" s="139">
        <v>16.829999999999998</v>
      </c>
      <c r="O264" s="209">
        <v>23.25</v>
      </c>
      <c r="P264" s="139">
        <v>31.38</v>
      </c>
      <c r="Q264" s="139">
        <v>4.18</v>
      </c>
      <c r="R264" s="139">
        <v>23.25</v>
      </c>
      <c r="S264" s="179">
        <f t="shared" si="8"/>
        <v>23.252325232523255</v>
      </c>
      <c r="T264" s="179">
        <f t="shared" si="9"/>
        <v>2.3252325232547832E-3</v>
      </c>
      <c r="U264" s="179"/>
      <c r="V264" s="150" t="s">
        <v>460</v>
      </c>
      <c r="W264" s="139">
        <v>4.5999999999999996</v>
      </c>
      <c r="X264" s="139">
        <v>13</v>
      </c>
    </row>
    <row r="265" spans="2:24" x14ac:dyDescent="0.3">
      <c r="B265" s="139">
        <v>262</v>
      </c>
      <c r="C265" s="139">
        <v>588</v>
      </c>
      <c r="D265" s="139" t="s">
        <v>964</v>
      </c>
      <c r="E265" s="151" t="s">
        <v>283</v>
      </c>
      <c r="F265" s="196" t="s">
        <v>965</v>
      </c>
      <c r="G265" s="95" t="s">
        <v>458</v>
      </c>
      <c r="H265" s="139">
        <v>31</v>
      </c>
      <c r="I265" s="139">
        <v>1</v>
      </c>
      <c r="J265" s="139">
        <v>1.5</v>
      </c>
      <c r="K265" s="139">
        <v>1.0826</v>
      </c>
      <c r="L265" s="95" t="s">
        <v>459</v>
      </c>
      <c r="M265" s="139">
        <v>27</v>
      </c>
      <c r="N265" s="139">
        <v>17.600000000000001</v>
      </c>
      <c r="O265" s="209">
        <v>24.94</v>
      </c>
      <c r="P265" s="139">
        <v>34.39</v>
      </c>
      <c r="Q265" s="139">
        <v>4.8</v>
      </c>
      <c r="R265" s="139">
        <v>24.94</v>
      </c>
      <c r="S265" s="179">
        <f t="shared" si="8"/>
        <v>24.93995935710327</v>
      </c>
      <c r="T265" s="179">
        <f t="shared" si="9"/>
        <v>4.0642896731668543E-5</v>
      </c>
      <c r="U265" s="179"/>
      <c r="V265" s="150" t="s">
        <v>460</v>
      </c>
      <c r="W265" s="139">
        <v>4.8</v>
      </c>
      <c r="X265" s="139">
        <v>13</v>
      </c>
    </row>
    <row r="266" spans="2:24" x14ac:dyDescent="0.3">
      <c r="B266" s="139">
        <v>263</v>
      </c>
      <c r="C266" s="139">
        <v>589</v>
      </c>
      <c r="D266" s="139" t="s">
        <v>966</v>
      </c>
      <c r="E266" s="151" t="s">
        <v>283</v>
      </c>
      <c r="F266" s="196" t="s">
        <v>967</v>
      </c>
      <c r="G266" s="95" t="s">
        <v>458</v>
      </c>
      <c r="H266" s="139">
        <v>5</v>
      </c>
      <c r="I266" s="139">
        <v>1</v>
      </c>
      <c r="J266" s="139">
        <v>0.24640000000000001</v>
      </c>
      <c r="K266" s="139">
        <v>0.17899999999999999</v>
      </c>
      <c r="L266" s="95" t="s">
        <v>459</v>
      </c>
      <c r="M266" s="139">
        <v>3</v>
      </c>
      <c r="N266" s="139">
        <v>4.58</v>
      </c>
      <c r="O266" s="209">
        <v>16.760000000000002</v>
      </c>
      <c r="P266" s="139">
        <v>43.31</v>
      </c>
      <c r="Q266" s="139">
        <v>9.67</v>
      </c>
      <c r="R266" s="139">
        <v>16.760000000000002</v>
      </c>
      <c r="S266" s="179">
        <f t="shared" si="8"/>
        <v>16.759776536312849</v>
      </c>
      <c r="T266" s="179">
        <f t="shared" si="9"/>
        <v>2.2346368715275844E-4</v>
      </c>
      <c r="U266" s="179"/>
      <c r="V266" s="150" t="s">
        <v>460</v>
      </c>
      <c r="W266" s="139">
        <v>3.3</v>
      </c>
      <c r="X266" s="139">
        <v>6</v>
      </c>
    </row>
    <row r="267" spans="2:24" x14ac:dyDescent="0.3">
      <c r="B267" s="139">
        <v>264</v>
      </c>
      <c r="C267" s="139">
        <v>590</v>
      </c>
      <c r="D267" s="139" t="s">
        <v>968</v>
      </c>
      <c r="E267" s="151" t="s">
        <v>283</v>
      </c>
      <c r="F267" s="196" t="s">
        <v>969</v>
      </c>
      <c r="G267" s="95" t="s">
        <v>458</v>
      </c>
      <c r="H267" s="139">
        <v>2</v>
      </c>
      <c r="I267" s="139">
        <v>1</v>
      </c>
      <c r="J267" s="139">
        <v>9.8500000000000004E-2</v>
      </c>
      <c r="K267" s="139">
        <v>7.1599999999999997E-2</v>
      </c>
      <c r="L267" s="95" t="s">
        <v>459</v>
      </c>
      <c r="M267" s="139">
        <v>1</v>
      </c>
      <c r="N267" s="139">
        <v>0.7</v>
      </c>
      <c r="O267" s="209">
        <v>13.96</v>
      </c>
      <c r="P267" s="139">
        <v>66.260000000000005</v>
      </c>
      <c r="Q267" s="139">
        <v>13.96</v>
      </c>
      <c r="R267" s="139">
        <v>13.96</v>
      </c>
      <c r="S267" s="179">
        <f t="shared" si="8"/>
        <v>13.966480446927374</v>
      </c>
      <c r="T267" s="179">
        <f t="shared" si="9"/>
        <v>6.4804469273731513E-3</v>
      </c>
      <c r="U267" s="179"/>
      <c r="V267" s="150" t="s">
        <v>460</v>
      </c>
      <c r="W267" s="139">
        <v>2</v>
      </c>
      <c r="X267" s="139">
        <v>2</v>
      </c>
    </row>
    <row r="268" spans="2:24" x14ac:dyDescent="0.3">
      <c r="B268" s="139">
        <v>265</v>
      </c>
      <c r="C268" s="139">
        <v>591</v>
      </c>
      <c r="D268" s="139" t="s">
        <v>970</v>
      </c>
      <c r="E268" s="151" t="s">
        <v>283</v>
      </c>
      <c r="F268" s="196" t="s">
        <v>971</v>
      </c>
      <c r="G268" s="95" t="s">
        <v>458</v>
      </c>
      <c r="H268" s="139">
        <v>116</v>
      </c>
      <c r="I268" s="139">
        <v>6</v>
      </c>
      <c r="J268" s="139">
        <v>2.0259999999999998</v>
      </c>
      <c r="K268" s="139">
        <v>2.0228000000000002</v>
      </c>
      <c r="L268" s="95" t="s">
        <v>459</v>
      </c>
      <c r="M268" s="139">
        <v>10</v>
      </c>
      <c r="N268" s="139">
        <v>2.2999999999999998</v>
      </c>
      <c r="O268" s="209">
        <v>4.53</v>
      </c>
      <c r="P268" s="139">
        <v>7.37</v>
      </c>
      <c r="Q268" s="139">
        <v>1.56</v>
      </c>
      <c r="R268" s="139">
        <v>4.9400000000000004</v>
      </c>
      <c r="S268" s="179">
        <f t="shared" si="8"/>
        <v>4.9436424757761515</v>
      </c>
      <c r="T268" s="179">
        <f t="shared" si="9"/>
        <v>3.6424757761510662E-3</v>
      </c>
      <c r="U268" s="179"/>
      <c r="V268" s="150" t="s">
        <v>460</v>
      </c>
      <c r="W268" s="139">
        <v>6</v>
      </c>
      <c r="X268" s="139">
        <v>6</v>
      </c>
    </row>
    <row r="269" spans="2:24" x14ac:dyDescent="0.3">
      <c r="B269" s="139">
        <v>266</v>
      </c>
      <c r="C269" s="139">
        <v>594</v>
      </c>
      <c r="D269" s="139" t="s">
        <v>972</v>
      </c>
      <c r="E269" s="151" t="s">
        <v>283</v>
      </c>
      <c r="F269" s="196" t="s">
        <v>973</v>
      </c>
      <c r="G269" s="95" t="s">
        <v>458</v>
      </c>
      <c r="H269" s="139">
        <v>116</v>
      </c>
      <c r="I269" s="139">
        <v>6</v>
      </c>
      <c r="J269" s="139">
        <v>2.0259999999999998</v>
      </c>
      <c r="K269" s="139">
        <v>2.0228000000000002</v>
      </c>
      <c r="L269" s="95" t="s">
        <v>459</v>
      </c>
      <c r="M269" s="139">
        <v>10</v>
      </c>
      <c r="N269" s="139">
        <v>2.2999999999999998</v>
      </c>
      <c r="O269" s="209">
        <v>4.53</v>
      </c>
      <c r="P269" s="139">
        <v>7.37</v>
      </c>
      <c r="Q269" s="139">
        <v>1.56</v>
      </c>
      <c r="R269" s="139">
        <v>4.9400000000000004</v>
      </c>
      <c r="S269" s="179">
        <f t="shared" si="8"/>
        <v>4.9436424757761515</v>
      </c>
      <c r="T269" s="179">
        <f t="shared" si="9"/>
        <v>3.6424757761510662E-3</v>
      </c>
      <c r="U269" s="179"/>
      <c r="V269" s="150" t="s">
        <v>460</v>
      </c>
      <c r="W269" s="139">
        <v>6</v>
      </c>
      <c r="X269" s="139">
        <v>6</v>
      </c>
    </row>
    <row r="270" spans="2:24" x14ac:dyDescent="0.3">
      <c r="B270" s="139">
        <v>267</v>
      </c>
      <c r="C270" s="139">
        <v>595</v>
      </c>
      <c r="D270" s="139" t="s">
        <v>974</v>
      </c>
      <c r="E270" s="151" t="s">
        <v>283</v>
      </c>
      <c r="F270" s="196" t="s">
        <v>975</v>
      </c>
      <c r="G270" s="95" t="s">
        <v>458</v>
      </c>
      <c r="H270" s="139">
        <v>28</v>
      </c>
      <c r="I270" s="139">
        <v>5</v>
      </c>
      <c r="J270" s="139">
        <v>0.48209999999999997</v>
      </c>
      <c r="K270" s="139">
        <v>0.48110000000000003</v>
      </c>
      <c r="L270" s="95" t="s">
        <v>459</v>
      </c>
      <c r="M270" s="139">
        <v>2</v>
      </c>
      <c r="N270" s="139">
        <v>0.04</v>
      </c>
      <c r="O270" s="209">
        <v>3.93</v>
      </c>
      <c r="P270" s="139">
        <v>12.82</v>
      </c>
      <c r="Q270" s="139">
        <v>4.67</v>
      </c>
      <c r="R270" s="139">
        <v>4.16</v>
      </c>
      <c r="S270" s="179">
        <f t="shared" si="8"/>
        <v>4.1571398877572232</v>
      </c>
      <c r="T270" s="179">
        <f t="shared" si="9"/>
        <v>2.8601122427769354E-3</v>
      </c>
      <c r="U270" s="179"/>
      <c r="V270" s="150" t="s">
        <v>460</v>
      </c>
      <c r="W270" s="150" t="s">
        <v>460</v>
      </c>
      <c r="X270" s="150" t="s">
        <v>460</v>
      </c>
    </row>
    <row r="271" spans="2:24" x14ac:dyDescent="0.3">
      <c r="B271" s="139">
        <v>268</v>
      </c>
      <c r="C271" s="139">
        <v>596</v>
      </c>
      <c r="D271" s="139" t="s">
        <v>976</v>
      </c>
      <c r="E271" s="151" t="s">
        <v>283</v>
      </c>
      <c r="F271" s="196" t="s">
        <v>977</v>
      </c>
      <c r="G271" s="95" t="s">
        <v>458</v>
      </c>
      <c r="H271" s="139">
        <v>88</v>
      </c>
      <c r="I271" s="139">
        <v>6</v>
      </c>
      <c r="J271" s="139">
        <v>1.5439000000000001</v>
      </c>
      <c r="K271" s="139">
        <v>1.5418000000000001</v>
      </c>
      <c r="L271" s="95" t="s">
        <v>459</v>
      </c>
      <c r="M271" s="139">
        <v>8</v>
      </c>
      <c r="N271" s="139">
        <v>0.37</v>
      </c>
      <c r="O271" s="209">
        <v>3.62</v>
      </c>
      <c r="P271" s="139">
        <v>9.73</v>
      </c>
      <c r="Q271" s="139">
        <v>3.11</v>
      </c>
      <c r="R271" s="139">
        <v>5.19</v>
      </c>
      <c r="S271" s="179">
        <f t="shared" si="8"/>
        <v>5.1887404332598264</v>
      </c>
      <c r="T271" s="179">
        <f t="shared" si="9"/>
        <v>1.2595667401740229E-3</v>
      </c>
      <c r="U271" s="179"/>
      <c r="V271" s="150" t="s">
        <v>460</v>
      </c>
      <c r="W271" s="139">
        <v>6</v>
      </c>
      <c r="X271" s="139">
        <v>6</v>
      </c>
    </row>
    <row r="272" spans="2:24" x14ac:dyDescent="0.3">
      <c r="B272" s="139">
        <v>269</v>
      </c>
      <c r="C272" s="139">
        <v>597</v>
      </c>
      <c r="D272" s="139" t="s">
        <v>978</v>
      </c>
      <c r="E272" s="151" t="s">
        <v>283</v>
      </c>
      <c r="F272" s="196" t="s">
        <v>979</v>
      </c>
      <c r="G272" s="95" t="s">
        <v>458</v>
      </c>
      <c r="H272" s="139">
        <v>5</v>
      </c>
      <c r="I272" s="139">
        <v>3</v>
      </c>
      <c r="J272" s="139">
        <v>0.151</v>
      </c>
      <c r="K272" s="139">
        <v>0.1507</v>
      </c>
      <c r="L272" s="95" t="s">
        <v>459</v>
      </c>
      <c r="M272" s="139">
        <v>1</v>
      </c>
      <c r="N272" s="139">
        <v>0.01</v>
      </c>
      <c r="O272" s="209">
        <v>7.03</v>
      </c>
      <c r="P272" s="139">
        <v>28.95</v>
      </c>
      <c r="Q272" s="139">
        <v>10.98</v>
      </c>
      <c r="R272" s="139">
        <v>6.64</v>
      </c>
      <c r="S272" s="179">
        <f t="shared" si="8"/>
        <v>6.6357000663570007</v>
      </c>
      <c r="T272" s="179">
        <f t="shared" si="9"/>
        <v>4.2999336429989654E-3</v>
      </c>
      <c r="U272" s="179"/>
      <c r="V272" s="150" t="s">
        <v>460</v>
      </c>
      <c r="W272" s="139">
        <v>8.5</v>
      </c>
      <c r="X272" s="139">
        <v>8.5</v>
      </c>
    </row>
    <row r="273" spans="2:24" x14ac:dyDescent="0.3">
      <c r="B273" s="139">
        <v>270</v>
      </c>
      <c r="C273" s="139">
        <v>600</v>
      </c>
      <c r="D273" s="139" t="s">
        <v>980</v>
      </c>
      <c r="E273" s="151" t="s">
        <v>283</v>
      </c>
      <c r="F273" s="196" t="s">
        <v>981</v>
      </c>
      <c r="G273" s="95" t="s">
        <v>458</v>
      </c>
      <c r="H273" s="139">
        <v>2</v>
      </c>
      <c r="I273" s="139">
        <v>1</v>
      </c>
      <c r="J273" s="139">
        <v>5.2600000000000001E-2</v>
      </c>
      <c r="K273" s="139">
        <v>5.2600000000000001E-2</v>
      </c>
      <c r="L273" s="95" t="s">
        <v>459</v>
      </c>
      <c r="M273" s="139">
        <v>1</v>
      </c>
      <c r="N273" s="139">
        <v>0.95</v>
      </c>
      <c r="O273" s="209">
        <v>19.03</v>
      </c>
      <c r="P273" s="139">
        <v>90.28</v>
      </c>
      <c r="Q273" s="139">
        <v>19.03</v>
      </c>
      <c r="R273" s="139">
        <v>19.03</v>
      </c>
      <c r="S273" s="179">
        <f t="shared" si="8"/>
        <v>19.011406844106464</v>
      </c>
      <c r="T273" s="179">
        <f t="shared" si="9"/>
        <v>1.8593155893537272E-2</v>
      </c>
      <c r="U273" s="179"/>
      <c r="V273" s="150" t="s">
        <v>460</v>
      </c>
      <c r="W273" s="139">
        <v>8.5</v>
      </c>
      <c r="X273" s="139">
        <v>8.5</v>
      </c>
    </row>
    <row r="274" spans="2:24" x14ac:dyDescent="0.3">
      <c r="B274" s="139">
        <v>271</v>
      </c>
      <c r="C274" s="139">
        <v>601</v>
      </c>
      <c r="D274" s="139" t="s">
        <v>982</v>
      </c>
      <c r="E274" s="151" t="s">
        <v>283</v>
      </c>
      <c r="F274" s="196" t="s">
        <v>983</v>
      </c>
      <c r="G274" s="95" t="s">
        <v>458</v>
      </c>
      <c r="H274" s="139">
        <v>1</v>
      </c>
      <c r="I274" s="139">
        <v>1</v>
      </c>
      <c r="J274" s="139">
        <v>2.63E-2</v>
      </c>
      <c r="K274" s="139">
        <v>2.63E-2</v>
      </c>
      <c r="L274" s="95" t="s">
        <v>459</v>
      </c>
      <c r="M274" s="139">
        <v>0</v>
      </c>
      <c r="N274" s="139">
        <v>0.04</v>
      </c>
      <c r="O274" s="209">
        <v>9.51</v>
      </c>
      <c r="P274" s="139">
        <v>36.53</v>
      </c>
      <c r="Q274" s="139">
        <v>13.45</v>
      </c>
      <c r="R274" s="150">
        <v>0</v>
      </c>
      <c r="S274" s="179">
        <f t="shared" si="8"/>
        <v>0</v>
      </c>
      <c r="T274" s="179">
        <f t="shared" si="9"/>
        <v>0</v>
      </c>
      <c r="U274" s="179"/>
      <c r="V274" s="150" t="s">
        <v>460</v>
      </c>
      <c r="W274" s="150" t="s">
        <v>460</v>
      </c>
      <c r="X274" s="150" t="s">
        <v>460</v>
      </c>
    </row>
    <row r="275" spans="2:24" x14ac:dyDescent="0.3">
      <c r="B275" s="139">
        <v>272</v>
      </c>
      <c r="C275" s="139">
        <v>602</v>
      </c>
      <c r="D275" s="139" t="s">
        <v>984</v>
      </c>
      <c r="E275" s="151" t="s">
        <v>283</v>
      </c>
      <c r="F275" s="196" t="s">
        <v>985</v>
      </c>
      <c r="G275" s="95" t="s">
        <v>458</v>
      </c>
      <c r="H275" s="139">
        <v>1</v>
      </c>
      <c r="I275" s="139">
        <v>1</v>
      </c>
      <c r="J275" s="139">
        <v>2.63E-2</v>
      </c>
      <c r="K275" s="139">
        <v>2.63E-2</v>
      </c>
      <c r="L275" s="95" t="s">
        <v>459</v>
      </c>
      <c r="M275" s="139">
        <v>1</v>
      </c>
      <c r="N275" s="139">
        <v>1.9</v>
      </c>
      <c r="O275" s="209">
        <v>38.049999999999997</v>
      </c>
      <c r="P275" s="139">
        <v>180.56</v>
      </c>
      <c r="Q275" s="139">
        <v>38.049999999999997</v>
      </c>
      <c r="R275" s="139">
        <v>38.049999999999997</v>
      </c>
      <c r="S275" s="179">
        <f t="shared" si="8"/>
        <v>38.022813688212928</v>
      </c>
      <c r="T275" s="179">
        <f t="shared" si="9"/>
        <v>2.7186311787069428E-2</v>
      </c>
      <c r="U275" s="179"/>
      <c r="V275" s="150" t="s">
        <v>460</v>
      </c>
      <c r="W275" s="139">
        <v>8.5</v>
      </c>
      <c r="X275" s="139">
        <v>8.5</v>
      </c>
    </row>
    <row r="276" spans="2:24" x14ac:dyDescent="0.3">
      <c r="B276" s="139">
        <v>273</v>
      </c>
      <c r="C276" s="139">
        <v>603</v>
      </c>
      <c r="D276" s="139" t="s">
        <v>986</v>
      </c>
      <c r="E276" s="151" t="s">
        <v>283</v>
      </c>
      <c r="F276" s="196" t="s">
        <v>987</v>
      </c>
      <c r="G276" s="95" t="s">
        <v>458</v>
      </c>
      <c r="H276" s="139">
        <v>1</v>
      </c>
      <c r="I276" s="139">
        <v>1</v>
      </c>
      <c r="J276" s="139">
        <v>1.7500000000000002E-2</v>
      </c>
      <c r="K276" s="139">
        <v>1.7299999999999999E-2</v>
      </c>
      <c r="L276" s="95" t="s">
        <v>459</v>
      </c>
      <c r="M276" s="139">
        <v>0</v>
      </c>
      <c r="N276" s="139">
        <v>0.02</v>
      </c>
      <c r="O276" s="209">
        <v>5.65</v>
      </c>
      <c r="P276" s="139">
        <v>21.7</v>
      </c>
      <c r="Q276" s="139">
        <v>7.99</v>
      </c>
      <c r="R276" s="150">
        <v>0</v>
      </c>
      <c r="S276" s="179">
        <f t="shared" si="8"/>
        <v>0</v>
      </c>
      <c r="T276" s="179">
        <f t="shared" si="9"/>
        <v>0</v>
      </c>
      <c r="U276" s="179"/>
      <c r="V276" s="150" t="s">
        <v>460</v>
      </c>
      <c r="W276" s="150" t="s">
        <v>460</v>
      </c>
      <c r="X276" s="150" t="s">
        <v>460</v>
      </c>
    </row>
    <row r="277" spans="2:24" x14ac:dyDescent="0.3">
      <c r="B277" s="139">
        <v>274</v>
      </c>
      <c r="C277" s="139">
        <v>604</v>
      </c>
      <c r="D277" s="139" t="s">
        <v>988</v>
      </c>
      <c r="E277" s="151" t="s">
        <v>283</v>
      </c>
      <c r="F277" s="196" t="s">
        <v>989</v>
      </c>
      <c r="G277" s="95" t="s">
        <v>458</v>
      </c>
      <c r="H277" s="139">
        <v>1</v>
      </c>
      <c r="I277" s="139">
        <v>1</v>
      </c>
      <c r="J277" s="139">
        <v>1.7500000000000002E-2</v>
      </c>
      <c r="K277" s="139">
        <v>1.7299999999999999E-2</v>
      </c>
      <c r="L277" s="95" t="s">
        <v>459</v>
      </c>
      <c r="M277" s="139">
        <v>0</v>
      </c>
      <c r="N277" s="139">
        <v>0.02</v>
      </c>
      <c r="O277" s="209">
        <v>4.7300000000000004</v>
      </c>
      <c r="P277" s="139">
        <v>18.149999999999999</v>
      </c>
      <c r="Q277" s="139">
        <v>6.68</v>
      </c>
      <c r="R277" s="150">
        <v>0</v>
      </c>
      <c r="S277" s="179">
        <f t="shared" si="8"/>
        <v>0</v>
      </c>
      <c r="T277" s="179">
        <f t="shared" si="9"/>
        <v>0</v>
      </c>
      <c r="U277" s="179"/>
      <c r="V277" s="150" t="s">
        <v>460</v>
      </c>
      <c r="W277" s="150" t="s">
        <v>460</v>
      </c>
      <c r="X277" s="150" t="s">
        <v>460</v>
      </c>
    </row>
    <row r="278" spans="2:24" x14ac:dyDescent="0.3">
      <c r="B278" s="139">
        <v>275</v>
      </c>
      <c r="C278" s="139">
        <v>605</v>
      </c>
      <c r="D278" s="139" t="s">
        <v>990</v>
      </c>
      <c r="E278" s="151" t="s">
        <v>283</v>
      </c>
      <c r="F278" s="196" t="s">
        <v>991</v>
      </c>
      <c r="G278" s="95" t="s">
        <v>458</v>
      </c>
      <c r="H278" s="139">
        <v>2</v>
      </c>
      <c r="I278" s="139">
        <v>1</v>
      </c>
      <c r="J278" s="139">
        <v>8.0799999999999997E-2</v>
      </c>
      <c r="K278" s="139">
        <v>8.0799999999999997E-2</v>
      </c>
      <c r="L278" s="95" t="s">
        <v>459</v>
      </c>
      <c r="M278" s="139">
        <v>0</v>
      </c>
      <c r="N278" s="139">
        <v>0.01</v>
      </c>
      <c r="O278" s="209">
        <v>3.29</v>
      </c>
      <c r="P278" s="139">
        <v>12.64</v>
      </c>
      <c r="Q278" s="139">
        <v>4.6500000000000004</v>
      </c>
      <c r="R278" s="150">
        <v>0</v>
      </c>
      <c r="S278" s="179">
        <f t="shared" si="8"/>
        <v>0</v>
      </c>
      <c r="T278" s="179">
        <f t="shared" si="9"/>
        <v>0</v>
      </c>
      <c r="U278" s="179"/>
      <c r="V278" s="150" t="s">
        <v>460</v>
      </c>
      <c r="W278" s="150" t="s">
        <v>460</v>
      </c>
      <c r="X278" s="150" t="s">
        <v>460</v>
      </c>
    </row>
    <row r="279" spans="2:24" x14ac:dyDescent="0.3">
      <c r="B279" s="139">
        <v>276</v>
      </c>
      <c r="C279" s="139">
        <v>606</v>
      </c>
      <c r="D279" s="139" t="s">
        <v>992</v>
      </c>
      <c r="E279" s="151" t="s">
        <v>283</v>
      </c>
      <c r="F279" s="196" t="s">
        <v>993</v>
      </c>
      <c r="G279" s="95" t="s">
        <v>458</v>
      </c>
      <c r="H279" s="139">
        <v>2</v>
      </c>
      <c r="I279" s="139">
        <v>1</v>
      </c>
      <c r="J279" s="139">
        <v>8.0799999999999997E-2</v>
      </c>
      <c r="K279" s="139">
        <v>8.0799999999999997E-2</v>
      </c>
      <c r="L279" s="95" t="s">
        <v>459</v>
      </c>
      <c r="M279" s="139">
        <v>0</v>
      </c>
      <c r="N279" s="139">
        <v>0.01</v>
      </c>
      <c r="O279" s="209">
        <v>2.15</v>
      </c>
      <c r="P279" s="139">
        <v>8.25</v>
      </c>
      <c r="Q279" s="139">
        <v>3.04</v>
      </c>
      <c r="R279" s="150">
        <v>0</v>
      </c>
      <c r="S279" s="179">
        <f t="shared" si="8"/>
        <v>0</v>
      </c>
      <c r="T279" s="179">
        <f t="shared" si="9"/>
        <v>0</v>
      </c>
      <c r="U279" s="179"/>
      <c r="V279" s="150" t="s">
        <v>460</v>
      </c>
      <c r="W279" s="150" t="s">
        <v>460</v>
      </c>
      <c r="X279" s="150" t="s">
        <v>460</v>
      </c>
    </row>
    <row r="280" spans="2:24" x14ac:dyDescent="0.3">
      <c r="B280" s="139">
        <v>277</v>
      </c>
      <c r="C280" s="139">
        <v>607</v>
      </c>
      <c r="D280" s="139" t="s">
        <v>994</v>
      </c>
      <c r="E280" s="151" t="s">
        <v>283</v>
      </c>
      <c r="F280" s="196" t="s">
        <v>995</v>
      </c>
      <c r="G280" s="95" t="s">
        <v>458</v>
      </c>
      <c r="H280" s="139">
        <v>130</v>
      </c>
      <c r="I280" s="139">
        <v>8</v>
      </c>
      <c r="J280" s="139">
        <v>3.1242000000000001</v>
      </c>
      <c r="K280" s="139">
        <v>3.0261999999999998</v>
      </c>
      <c r="L280" s="95" t="s">
        <v>459</v>
      </c>
      <c r="M280" s="139">
        <v>18</v>
      </c>
      <c r="N280" s="139">
        <v>0.06</v>
      </c>
      <c r="O280" s="209">
        <v>10.37</v>
      </c>
      <c r="P280" s="139">
        <v>36.49</v>
      </c>
      <c r="Q280" s="139">
        <v>13.48</v>
      </c>
      <c r="R280" s="139">
        <v>5.95</v>
      </c>
      <c r="S280" s="179">
        <f t="shared" si="8"/>
        <v>5.9480536646619528</v>
      </c>
      <c r="T280" s="179">
        <f t="shared" si="9"/>
        <v>1.9463353380473336E-3</v>
      </c>
      <c r="U280" s="179"/>
      <c r="V280" s="150" t="s">
        <v>460</v>
      </c>
      <c r="W280" s="139">
        <v>4.3</v>
      </c>
      <c r="X280" s="139">
        <v>8</v>
      </c>
    </row>
    <row r="281" spans="2:24" x14ac:dyDescent="0.3">
      <c r="B281" s="139">
        <v>278</v>
      </c>
      <c r="C281" s="139">
        <v>610</v>
      </c>
      <c r="D281" s="139" t="s">
        <v>996</v>
      </c>
      <c r="E281" s="151" t="s">
        <v>283</v>
      </c>
      <c r="F281" s="196" t="s">
        <v>997</v>
      </c>
      <c r="G281" s="95" t="s">
        <v>458</v>
      </c>
      <c r="H281" s="139">
        <v>3</v>
      </c>
      <c r="I281" s="139">
        <v>1</v>
      </c>
      <c r="J281" s="139">
        <v>5.2600000000000001E-2</v>
      </c>
      <c r="K281" s="139">
        <v>5.2499999999999998E-2</v>
      </c>
      <c r="L281" s="95" t="s">
        <v>459</v>
      </c>
      <c r="M281" s="139">
        <v>6</v>
      </c>
      <c r="N281" s="139">
        <v>49.78</v>
      </c>
      <c r="O281" s="209">
        <v>114.21</v>
      </c>
      <c r="P281" s="139">
        <v>225.38</v>
      </c>
      <c r="Q281" s="139">
        <v>46.63</v>
      </c>
      <c r="R281" s="139">
        <v>114.21</v>
      </c>
      <c r="S281" s="179">
        <f t="shared" si="8"/>
        <v>114.28571428571429</v>
      </c>
      <c r="T281" s="179">
        <f t="shared" si="9"/>
        <v>7.5714285714298057E-2</v>
      </c>
      <c r="U281" s="179"/>
      <c r="V281" s="150" t="s">
        <v>460</v>
      </c>
      <c r="W281" s="139">
        <v>5</v>
      </c>
      <c r="X281" s="139">
        <v>8</v>
      </c>
    </row>
    <row r="282" spans="2:24" x14ac:dyDescent="0.3">
      <c r="B282" s="139">
        <v>279</v>
      </c>
      <c r="C282" s="139">
        <v>611</v>
      </c>
      <c r="D282" s="139" t="s">
        <v>998</v>
      </c>
      <c r="E282" s="151" t="s">
        <v>283</v>
      </c>
      <c r="F282" s="196" t="s">
        <v>999</v>
      </c>
      <c r="G282" s="95" t="s">
        <v>458</v>
      </c>
      <c r="H282" s="139">
        <v>3</v>
      </c>
      <c r="I282" s="139">
        <v>1</v>
      </c>
      <c r="J282" s="139">
        <v>5.2600000000000001E-2</v>
      </c>
      <c r="K282" s="139">
        <v>5.2499999999999998E-2</v>
      </c>
      <c r="L282" s="95" t="s">
        <v>459</v>
      </c>
      <c r="M282" s="139">
        <v>6</v>
      </c>
      <c r="N282" s="139">
        <v>49.78</v>
      </c>
      <c r="O282" s="209">
        <v>114.21</v>
      </c>
      <c r="P282" s="139">
        <v>225.38</v>
      </c>
      <c r="Q282" s="139">
        <v>46.63</v>
      </c>
      <c r="R282" s="139">
        <v>114.21</v>
      </c>
      <c r="S282" s="179">
        <f t="shared" si="8"/>
        <v>114.28571428571429</v>
      </c>
      <c r="T282" s="179">
        <f t="shared" si="9"/>
        <v>7.5714285714298057E-2</v>
      </c>
      <c r="U282" s="179"/>
      <c r="V282" s="150" t="s">
        <v>460</v>
      </c>
      <c r="W282" s="139">
        <v>5</v>
      </c>
      <c r="X282" s="139">
        <v>8</v>
      </c>
    </row>
    <row r="283" spans="2:24" x14ac:dyDescent="0.3">
      <c r="B283" s="139">
        <v>280</v>
      </c>
      <c r="C283" s="139">
        <v>612</v>
      </c>
      <c r="D283" s="139" t="s">
        <v>1000</v>
      </c>
      <c r="E283" s="151" t="s">
        <v>283</v>
      </c>
      <c r="F283" s="196" t="s">
        <v>1001</v>
      </c>
      <c r="G283" s="95" t="s">
        <v>458</v>
      </c>
      <c r="H283" s="139">
        <v>3</v>
      </c>
      <c r="I283" s="139">
        <v>1</v>
      </c>
      <c r="J283" s="139">
        <v>5.2600000000000001E-2</v>
      </c>
      <c r="K283" s="139">
        <v>5.2600000000000001E-2</v>
      </c>
      <c r="L283" s="95" t="s">
        <v>459</v>
      </c>
      <c r="M283" s="139">
        <v>1</v>
      </c>
      <c r="N283" s="139">
        <v>0.95</v>
      </c>
      <c r="O283" s="209">
        <v>19.03</v>
      </c>
      <c r="P283" s="139">
        <v>90.28</v>
      </c>
      <c r="Q283" s="139">
        <v>19.03</v>
      </c>
      <c r="R283" s="139">
        <v>19.03</v>
      </c>
      <c r="S283" s="179">
        <f t="shared" si="8"/>
        <v>19.011406844106464</v>
      </c>
      <c r="T283" s="179">
        <f t="shared" si="9"/>
        <v>1.8593155893537272E-2</v>
      </c>
      <c r="U283" s="179"/>
      <c r="V283" s="150" t="s">
        <v>460</v>
      </c>
      <c r="W283" s="139">
        <v>2</v>
      </c>
      <c r="X283" s="139">
        <v>2</v>
      </c>
    </row>
    <row r="284" spans="2:24" x14ac:dyDescent="0.3">
      <c r="B284" s="139">
        <v>281</v>
      </c>
      <c r="C284" s="139">
        <v>613</v>
      </c>
      <c r="D284" s="139" t="s">
        <v>1002</v>
      </c>
      <c r="E284" s="151" t="s">
        <v>283</v>
      </c>
      <c r="F284" s="196" t="s">
        <v>1003</v>
      </c>
      <c r="G284" s="95" t="s">
        <v>458</v>
      </c>
      <c r="H284" s="139">
        <v>3</v>
      </c>
      <c r="I284" s="139">
        <v>1</v>
      </c>
      <c r="J284" s="139">
        <v>5.2600000000000001E-2</v>
      </c>
      <c r="K284" s="139">
        <v>5.2600000000000001E-2</v>
      </c>
      <c r="L284" s="95" t="s">
        <v>459</v>
      </c>
      <c r="M284" s="139">
        <v>1</v>
      </c>
      <c r="N284" s="139">
        <v>0.95</v>
      </c>
      <c r="O284" s="209">
        <v>19.03</v>
      </c>
      <c r="P284" s="139">
        <v>90.28</v>
      </c>
      <c r="Q284" s="139">
        <v>19.03</v>
      </c>
      <c r="R284" s="139">
        <v>19.03</v>
      </c>
      <c r="S284" s="179">
        <f t="shared" si="8"/>
        <v>19.011406844106464</v>
      </c>
      <c r="T284" s="179">
        <f t="shared" si="9"/>
        <v>1.8593155893537272E-2</v>
      </c>
      <c r="U284" s="179"/>
      <c r="V284" s="150" t="s">
        <v>460</v>
      </c>
      <c r="W284" s="139">
        <v>2</v>
      </c>
      <c r="X284" s="139">
        <v>2</v>
      </c>
    </row>
    <row r="285" spans="2:24" x14ac:dyDescent="0.3">
      <c r="B285" s="139">
        <v>282</v>
      </c>
      <c r="C285" s="139">
        <v>614</v>
      </c>
      <c r="D285" s="139" t="s">
        <v>1004</v>
      </c>
      <c r="E285" s="151" t="s">
        <v>283</v>
      </c>
      <c r="F285" s="196" t="s">
        <v>1005</v>
      </c>
      <c r="G285" s="95" t="s">
        <v>458</v>
      </c>
      <c r="H285" s="139">
        <v>3</v>
      </c>
      <c r="I285" s="139">
        <v>1</v>
      </c>
      <c r="J285" s="139">
        <v>0.14779999999999999</v>
      </c>
      <c r="K285" s="139">
        <v>0.1074</v>
      </c>
      <c r="L285" s="95" t="s">
        <v>459</v>
      </c>
      <c r="M285" s="139">
        <v>0</v>
      </c>
      <c r="N285" s="139">
        <v>0.01</v>
      </c>
      <c r="O285" s="209">
        <v>3.21</v>
      </c>
      <c r="P285" s="139">
        <v>12.33</v>
      </c>
      <c r="Q285" s="139">
        <v>4.54</v>
      </c>
      <c r="R285" s="150">
        <v>0</v>
      </c>
      <c r="S285" s="179">
        <f t="shared" si="8"/>
        <v>0</v>
      </c>
      <c r="T285" s="179">
        <f t="shared" si="9"/>
        <v>0</v>
      </c>
      <c r="U285" s="179"/>
      <c r="V285" s="150" t="s">
        <v>460</v>
      </c>
      <c r="W285" s="150" t="s">
        <v>460</v>
      </c>
      <c r="X285" s="150" t="s">
        <v>460</v>
      </c>
    </row>
    <row r="286" spans="2:24" x14ac:dyDescent="0.3">
      <c r="B286" s="139">
        <v>283</v>
      </c>
      <c r="C286" s="139">
        <v>615</v>
      </c>
      <c r="D286" s="139" t="s">
        <v>1006</v>
      </c>
      <c r="E286" s="151" t="s">
        <v>283</v>
      </c>
      <c r="F286" s="196" t="s">
        <v>1007</v>
      </c>
      <c r="G286" s="95" t="s">
        <v>458</v>
      </c>
      <c r="H286" s="139">
        <v>3</v>
      </c>
      <c r="I286" s="139">
        <v>1</v>
      </c>
      <c r="J286" s="139">
        <v>0.14779999999999999</v>
      </c>
      <c r="K286" s="139">
        <v>0.1074</v>
      </c>
      <c r="L286" s="95" t="s">
        <v>459</v>
      </c>
      <c r="M286" s="139">
        <v>0</v>
      </c>
      <c r="N286" s="139">
        <v>0.01</v>
      </c>
      <c r="O286" s="209">
        <v>1.9</v>
      </c>
      <c r="P286" s="139">
        <v>7.3</v>
      </c>
      <c r="Q286" s="139">
        <v>2.69</v>
      </c>
      <c r="R286" s="150">
        <v>0</v>
      </c>
      <c r="S286" s="179">
        <f t="shared" si="8"/>
        <v>0</v>
      </c>
      <c r="T286" s="179">
        <f t="shared" si="9"/>
        <v>0</v>
      </c>
      <c r="U286" s="179"/>
      <c r="V286" s="150" t="s">
        <v>460</v>
      </c>
      <c r="W286" s="150" t="s">
        <v>460</v>
      </c>
      <c r="X286" s="150" t="s">
        <v>460</v>
      </c>
    </row>
    <row r="287" spans="2:24" x14ac:dyDescent="0.3">
      <c r="B287" s="139">
        <v>284</v>
      </c>
      <c r="C287" s="139">
        <v>616</v>
      </c>
      <c r="D287" s="139" t="s">
        <v>457</v>
      </c>
      <c r="E287" s="151" t="s">
        <v>283</v>
      </c>
      <c r="F287" s="196" t="s">
        <v>1008</v>
      </c>
      <c r="G287" s="95" t="s">
        <v>458</v>
      </c>
      <c r="H287" s="139">
        <v>23</v>
      </c>
      <c r="I287" s="139">
        <v>3</v>
      </c>
      <c r="J287" s="139">
        <v>0.65969999999999995</v>
      </c>
      <c r="K287" s="139">
        <v>0.65910000000000002</v>
      </c>
      <c r="L287" s="95" t="s">
        <v>459</v>
      </c>
      <c r="M287" s="139">
        <v>6</v>
      </c>
      <c r="N287" s="139">
        <v>2.0699999999999998</v>
      </c>
      <c r="O287" s="209">
        <v>8.4700000000000006</v>
      </c>
      <c r="P287" s="139">
        <v>18.43</v>
      </c>
      <c r="Q287" s="139">
        <v>5.21</v>
      </c>
      <c r="R287" s="139">
        <v>9.1</v>
      </c>
      <c r="S287" s="179">
        <f t="shared" si="8"/>
        <v>9.1033227127901686</v>
      </c>
      <c r="T287" s="179">
        <f t="shared" si="9"/>
        <v>3.3227127901689357E-3</v>
      </c>
      <c r="U287" s="179"/>
      <c r="V287" s="150" t="s">
        <v>460</v>
      </c>
      <c r="W287" s="139">
        <v>3.4</v>
      </c>
      <c r="X287" s="139">
        <v>4</v>
      </c>
    </row>
    <row r="288" spans="2:24" x14ac:dyDescent="0.3">
      <c r="B288" s="139">
        <v>285</v>
      </c>
      <c r="C288" s="139">
        <v>617</v>
      </c>
      <c r="D288" s="139" t="s">
        <v>1009</v>
      </c>
      <c r="E288" s="151" t="s">
        <v>283</v>
      </c>
      <c r="F288" s="196" t="s">
        <v>1010</v>
      </c>
      <c r="G288" s="95" t="s">
        <v>458</v>
      </c>
      <c r="H288" s="139">
        <v>13</v>
      </c>
      <c r="I288" s="139">
        <v>1</v>
      </c>
      <c r="J288" s="139">
        <v>0.48420000000000002</v>
      </c>
      <c r="K288" s="139">
        <v>0.4839</v>
      </c>
      <c r="L288" s="95" t="s">
        <v>459</v>
      </c>
      <c r="M288" s="139">
        <v>5</v>
      </c>
      <c r="N288" s="139">
        <v>4.07</v>
      </c>
      <c r="O288" s="209">
        <v>10.33</v>
      </c>
      <c r="P288" s="139">
        <v>21.73</v>
      </c>
      <c r="Q288" s="139">
        <v>4.62</v>
      </c>
      <c r="R288" s="139">
        <v>10.33</v>
      </c>
      <c r="S288" s="179">
        <f t="shared" si="8"/>
        <v>10.332713370531101</v>
      </c>
      <c r="T288" s="179">
        <f t="shared" si="9"/>
        <v>2.7133705311008782E-3</v>
      </c>
      <c r="U288" s="179"/>
      <c r="V288" s="150" t="s">
        <v>460</v>
      </c>
      <c r="W288" s="139">
        <v>3.4</v>
      </c>
      <c r="X288" s="139">
        <v>4</v>
      </c>
    </row>
    <row r="289" spans="2:24" x14ac:dyDescent="0.3">
      <c r="B289" s="139">
        <v>286</v>
      </c>
      <c r="C289" s="139">
        <v>618</v>
      </c>
      <c r="D289" s="139" t="s">
        <v>1011</v>
      </c>
      <c r="E289" s="151" t="s">
        <v>283</v>
      </c>
      <c r="F289" s="196" t="s">
        <v>1012</v>
      </c>
      <c r="G289" s="95" t="s">
        <v>458</v>
      </c>
      <c r="H289" s="139">
        <v>10</v>
      </c>
      <c r="I289" s="139">
        <v>2</v>
      </c>
      <c r="J289" s="139">
        <v>0.1754</v>
      </c>
      <c r="K289" s="139">
        <v>0.17519999999999999</v>
      </c>
      <c r="L289" s="95" t="s">
        <v>459</v>
      </c>
      <c r="M289" s="139">
        <v>1</v>
      </c>
      <c r="N289" s="139">
        <v>0.13</v>
      </c>
      <c r="O289" s="209">
        <v>5.32</v>
      </c>
      <c r="P289" s="139">
        <v>16.32</v>
      </c>
      <c r="Q289" s="139">
        <v>5.71</v>
      </c>
      <c r="R289" s="139">
        <v>5.71</v>
      </c>
      <c r="S289" s="179">
        <f t="shared" si="8"/>
        <v>5.7077625570776256</v>
      </c>
      <c r="T289" s="179">
        <f t="shared" si="9"/>
        <v>2.2374429223743775E-3</v>
      </c>
      <c r="U289" s="179"/>
      <c r="V289" s="150" t="s">
        <v>460</v>
      </c>
      <c r="W289" s="150" t="s">
        <v>460</v>
      </c>
      <c r="X289" s="150" t="s">
        <v>460</v>
      </c>
    </row>
    <row r="290" spans="2:24" x14ac:dyDescent="0.3">
      <c r="B290" s="139">
        <v>287</v>
      </c>
      <c r="C290" s="139">
        <v>619</v>
      </c>
      <c r="D290" s="139" t="s">
        <v>1013</v>
      </c>
      <c r="E290" s="151" t="s">
        <v>283</v>
      </c>
      <c r="F290" s="196" t="s">
        <v>1014</v>
      </c>
      <c r="G290" s="95" t="s">
        <v>458</v>
      </c>
      <c r="H290" s="139">
        <v>24</v>
      </c>
      <c r="I290" s="139">
        <v>1</v>
      </c>
      <c r="J290" s="139">
        <v>0.94389999999999996</v>
      </c>
      <c r="K290" s="139">
        <v>0.88859999999999995</v>
      </c>
      <c r="L290" s="95" t="s">
        <v>459</v>
      </c>
      <c r="M290" s="139">
        <v>2</v>
      </c>
      <c r="N290" s="139">
        <v>0.4</v>
      </c>
      <c r="O290" s="209">
        <v>2.25</v>
      </c>
      <c r="P290" s="139">
        <v>7.08</v>
      </c>
      <c r="Q290" s="139">
        <v>1.59</v>
      </c>
      <c r="R290" s="139">
        <v>2.25</v>
      </c>
      <c r="S290" s="179">
        <f t="shared" si="8"/>
        <v>2.2507314877335136</v>
      </c>
      <c r="T290" s="179">
        <f t="shared" si="9"/>
        <v>7.3148773351361385E-4</v>
      </c>
      <c r="U290" s="179"/>
      <c r="V290" s="150" t="s">
        <v>460</v>
      </c>
      <c r="W290" s="139">
        <v>6</v>
      </c>
      <c r="X290" s="139">
        <v>8</v>
      </c>
    </row>
    <row r="291" spans="2:24" x14ac:dyDescent="0.3">
      <c r="B291" s="139">
        <v>288</v>
      </c>
      <c r="C291" s="139">
        <v>620</v>
      </c>
      <c r="D291" s="139" t="s">
        <v>1015</v>
      </c>
      <c r="E291" s="151" t="s">
        <v>283</v>
      </c>
      <c r="F291" s="196" t="s">
        <v>1016</v>
      </c>
      <c r="G291" s="95" t="s">
        <v>458</v>
      </c>
      <c r="H291" s="139">
        <v>16</v>
      </c>
      <c r="I291" s="139">
        <v>1</v>
      </c>
      <c r="J291" s="139">
        <v>0.6532</v>
      </c>
      <c r="K291" s="139">
        <v>0.64629999999999999</v>
      </c>
      <c r="L291" s="95" t="s">
        <v>459</v>
      </c>
      <c r="M291" s="139">
        <v>1</v>
      </c>
      <c r="N291" s="139">
        <v>0.08</v>
      </c>
      <c r="O291" s="209">
        <v>1.55</v>
      </c>
      <c r="P291" s="139">
        <v>7.34</v>
      </c>
      <c r="Q291" s="139">
        <v>1.55</v>
      </c>
      <c r="R291" s="139">
        <v>1.55</v>
      </c>
      <c r="S291" s="179">
        <f t="shared" si="8"/>
        <v>1.547269070091289</v>
      </c>
      <c r="T291" s="179">
        <f t="shared" si="9"/>
        <v>2.7309299087110439E-3</v>
      </c>
      <c r="U291" s="179"/>
      <c r="V291" s="150" t="s">
        <v>460</v>
      </c>
      <c r="W291" s="139">
        <v>4</v>
      </c>
      <c r="X291" s="139">
        <v>4</v>
      </c>
    </row>
    <row r="292" spans="2:24" x14ac:dyDescent="0.3">
      <c r="B292" s="139">
        <v>289</v>
      </c>
      <c r="C292" s="139">
        <v>621</v>
      </c>
      <c r="D292" s="139" t="s">
        <v>1017</v>
      </c>
      <c r="E292" s="151" t="s">
        <v>283</v>
      </c>
      <c r="F292" s="196" t="s">
        <v>1018</v>
      </c>
      <c r="G292" s="95" t="s">
        <v>458</v>
      </c>
      <c r="H292" s="139">
        <v>8</v>
      </c>
      <c r="I292" s="139">
        <v>1</v>
      </c>
      <c r="J292" s="139">
        <v>0.29070000000000001</v>
      </c>
      <c r="K292" s="139">
        <v>0.24229999999999999</v>
      </c>
      <c r="L292" s="95" t="s">
        <v>459</v>
      </c>
      <c r="M292" s="139">
        <v>1</v>
      </c>
      <c r="N292" s="139">
        <v>0.21</v>
      </c>
      <c r="O292" s="209">
        <v>4.13</v>
      </c>
      <c r="P292" s="139">
        <v>19.579999999999998</v>
      </c>
      <c r="Q292" s="139">
        <v>4.13</v>
      </c>
      <c r="R292" s="139">
        <v>4.13</v>
      </c>
      <c r="S292" s="179">
        <f t="shared" si="8"/>
        <v>4.1271151465125877</v>
      </c>
      <c r="T292" s="179">
        <f t="shared" si="9"/>
        <v>2.8848534874121867E-3</v>
      </c>
      <c r="U292" s="179"/>
      <c r="V292" s="150" t="s">
        <v>460</v>
      </c>
      <c r="W292" s="139">
        <v>8</v>
      </c>
      <c r="X292" s="139">
        <v>8</v>
      </c>
    </row>
    <row r="293" spans="2:24" x14ac:dyDescent="0.3">
      <c r="B293" s="139">
        <v>290</v>
      </c>
      <c r="C293" s="139">
        <v>622</v>
      </c>
      <c r="D293" s="139" t="s">
        <v>1019</v>
      </c>
      <c r="E293" s="151" t="s">
        <v>283</v>
      </c>
      <c r="F293" s="196" t="s">
        <v>1020</v>
      </c>
      <c r="G293" s="95" t="s">
        <v>458</v>
      </c>
      <c r="H293" s="139">
        <v>74</v>
      </c>
      <c r="I293" s="139">
        <v>6</v>
      </c>
      <c r="J293" s="139">
        <v>1.2677</v>
      </c>
      <c r="K293" s="139">
        <v>1.266</v>
      </c>
      <c r="L293" s="95" t="s">
        <v>459</v>
      </c>
      <c r="M293" s="139">
        <v>3</v>
      </c>
      <c r="N293" s="139">
        <v>0.77</v>
      </c>
      <c r="O293" s="209">
        <v>2.8</v>
      </c>
      <c r="P293" s="139">
        <v>5.86</v>
      </c>
      <c r="Q293" s="139">
        <v>1.61</v>
      </c>
      <c r="R293" s="139">
        <v>2.37</v>
      </c>
      <c r="S293" s="179">
        <f t="shared" si="8"/>
        <v>2.3696682464454977</v>
      </c>
      <c r="T293" s="179">
        <f t="shared" si="9"/>
        <v>3.3175355450243416E-4</v>
      </c>
      <c r="U293" s="179"/>
      <c r="V293" s="150" t="s">
        <v>460</v>
      </c>
      <c r="W293" s="139">
        <v>4</v>
      </c>
      <c r="X293" s="139">
        <v>4</v>
      </c>
    </row>
    <row r="294" spans="2:24" x14ac:dyDescent="0.3">
      <c r="B294" s="139">
        <v>291</v>
      </c>
      <c r="C294" s="139">
        <v>623</v>
      </c>
      <c r="D294" s="139" t="s">
        <v>1021</v>
      </c>
      <c r="E294" s="151" t="s">
        <v>283</v>
      </c>
      <c r="F294" s="196" t="s">
        <v>1022</v>
      </c>
      <c r="G294" s="95" t="s">
        <v>458</v>
      </c>
      <c r="H294" s="139">
        <v>25</v>
      </c>
      <c r="I294" s="139">
        <v>2</v>
      </c>
      <c r="J294" s="139">
        <v>0.41420000000000001</v>
      </c>
      <c r="K294" s="139">
        <v>0.41360000000000002</v>
      </c>
      <c r="L294" s="95" t="s">
        <v>459</v>
      </c>
      <c r="M294" s="139">
        <v>2</v>
      </c>
      <c r="N294" s="139">
        <v>1.33</v>
      </c>
      <c r="O294" s="209">
        <v>5.52</v>
      </c>
      <c r="P294" s="139">
        <v>12.06</v>
      </c>
      <c r="Q294" s="139">
        <v>3.42</v>
      </c>
      <c r="R294" s="139">
        <v>4.84</v>
      </c>
      <c r="S294" s="179">
        <f t="shared" si="8"/>
        <v>4.8355899419729207</v>
      </c>
      <c r="T294" s="179">
        <f t="shared" si="9"/>
        <v>4.4100580270791667E-3</v>
      </c>
      <c r="U294" s="179"/>
      <c r="V294" s="150" t="s">
        <v>460</v>
      </c>
      <c r="W294" s="139">
        <v>4</v>
      </c>
      <c r="X294" s="139">
        <v>4</v>
      </c>
    </row>
    <row r="295" spans="2:24" x14ac:dyDescent="0.3">
      <c r="B295" s="139">
        <v>292</v>
      </c>
      <c r="C295" s="139">
        <v>624</v>
      </c>
      <c r="D295" s="139" t="s">
        <v>1023</v>
      </c>
      <c r="E295" s="151" t="s">
        <v>283</v>
      </c>
      <c r="F295" s="196" t="s">
        <v>1024</v>
      </c>
      <c r="G295" s="95" t="s">
        <v>458</v>
      </c>
      <c r="H295" s="139">
        <v>29</v>
      </c>
      <c r="I295" s="139">
        <v>1</v>
      </c>
      <c r="J295" s="139">
        <v>0.50260000000000005</v>
      </c>
      <c r="K295" s="139">
        <v>0.502</v>
      </c>
      <c r="L295" s="95" t="s">
        <v>459</v>
      </c>
      <c r="M295" s="139">
        <v>0</v>
      </c>
      <c r="N295" s="210">
        <v>3.0000000000000001E-3</v>
      </c>
      <c r="O295" s="209">
        <v>0.73</v>
      </c>
      <c r="P295" s="139">
        <v>2.82</v>
      </c>
      <c r="Q295" s="139">
        <v>1.04</v>
      </c>
      <c r="R295" s="150">
        <v>0</v>
      </c>
      <c r="S295" s="179">
        <f t="shared" si="8"/>
        <v>0</v>
      </c>
      <c r="T295" s="179">
        <f t="shared" si="9"/>
        <v>0</v>
      </c>
      <c r="U295" s="179"/>
      <c r="V295" s="150" t="s">
        <v>460</v>
      </c>
      <c r="W295" s="150" t="s">
        <v>460</v>
      </c>
      <c r="X295" s="150" t="s">
        <v>460</v>
      </c>
    </row>
    <row r="296" spans="2:24" x14ac:dyDescent="0.3">
      <c r="B296" s="139">
        <v>293</v>
      </c>
      <c r="C296" s="139">
        <v>625</v>
      </c>
      <c r="D296" s="139" t="s">
        <v>1025</v>
      </c>
      <c r="E296" s="151" t="s">
        <v>283</v>
      </c>
      <c r="F296" s="196" t="s">
        <v>1026</v>
      </c>
      <c r="G296" s="95" t="s">
        <v>458</v>
      </c>
      <c r="H296" s="139">
        <v>20</v>
      </c>
      <c r="I296" s="139">
        <v>4</v>
      </c>
      <c r="J296" s="139">
        <v>0.35089999999999999</v>
      </c>
      <c r="K296" s="139">
        <v>0.35039999999999999</v>
      </c>
      <c r="L296" s="95" t="s">
        <v>459</v>
      </c>
      <c r="M296" s="139">
        <v>1</v>
      </c>
      <c r="N296" s="139">
        <v>0.01</v>
      </c>
      <c r="O296" s="209">
        <v>2.5499999999999998</v>
      </c>
      <c r="P296" s="139">
        <v>9.68</v>
      </c>
      <c r="Q296" s="139">
        <v>3.57</v>
      </c>
      <c r="R296" s="139">
        <v>2.85</v>
      </c>
      <c r="S296" s="179">
        <f t="shared" si="8"/>
        <v>2.8538812785388128</v>
      </c>
      <c r="T296" s="179">
        <f t="shared" si="9"/>
        <v>3.8812785388127047E-3</v>
      </c>
      <c r="U296" s="179"/>
      <c r="V296" s="150" t="s">
        <v>460</v>
      </c>
      <c r="W296" s="150" t="s">
        <v>460</v>
      </c>
      <c r="X296" s="150" t="s">
        <v>460</v>
      </c>
    </row>
    <row r="297" spans="2:24" x14ac:dyDescent="0.3">
      <c r="B297" s="139">
        <v>294</v>
      </c>
      <c r="C297" s="139">
        <v>626</v>
      </c>
      <c r="D297" s="139" t="s">
        <v>1027</v>
      </c>
      <c r="E297" s="151" t="s">
        <v>283</v>
      </c>
      <c r="F297" s="196" t="s">
        <v>1028</v>
      </c>
      <c r="G297" s="95" t="s">
        <v>458</v>
      </c>
      <c r="H297" s="139">
        <v>50</v>
      </c>
      <c r="I297" s="139">
        <v>5</v>
      </c>
      <c r="J297" s="139">
        <v>0.84670000000000001</v>
      </c>
      <c r="K297" s="139">
        <v>0.84040000000000004</v>
      </c>
      <c r="L297" s="95" t="s">
        <v>459</v>
      </c>
      <c r="M297" s="139">
        <v>16</v>
      </c>
      <c r="N297" s="139">
        <v>1.46</v>
      </c>
      <c r="O297" s="209">
        <v>27.77</v>
      </c>
      <c r="P297" s="139">
        <v>82.71</v>
      </c>
      <c r="Q297" s="139">
        <v>27.58</v>
      </c>
      <c r="R297" s="139">
        <v>19.04</v>
      </c>
      <c r="S297" s="179">
        <f t="shared" si="8"/>
        <v>19.038553069966682</v>
      </c>
      <c r="T297" s="179">
        <f t="shared" si="9"/>
        <v>1.4469300333175283E-3</v>
      </c>
      <c r="U297" s="179"/>
      <c r="V297" s="150" t="s">
        <v>460</v>
      </c>
      <c r="W297" s="139">
        <v>4.5999999999999996</v>
      </c>
      <c r="X297" s="139">
        <v>11</v>
      </c>
    </row>
    <row r="298" spans="2:24" x14ac:dyDescent="0.3">
      <c r="B298" s="139">
        <v>295</v>
      </c>
      <c r="C298" s="139">
        <v>629</v>
      </c>
      <c r="D298" s="139" t="s">
        <v>1029</v>
      </c>
      <c r="E298" s="151" t="s">
        <v>283</v>
      </c>
      <c r="F298" s="196" t="s">
        <v>1030</v>
      </c>
      <c r="G298" s="95" t="s">
        <v>458</v>
      </c>
      <c r="H298" s="139">
        <v>16</v>
      </c>
      <c r="I298" s="139">
        <v>3</v>
      </c>
      <c r="J298" s="139">
        <v>0.32990000000000003</v>
      </c>
      <c r="K298" s="139">
        <v>0.32590000000000002</v>
      </c>
      <c r="L298" s="95" t="s">
        <v>459</v>
      </c>
      <c r="M298" s="139">
        <v>9</v>
      </c>
      <c r="N298" s="139">
        <v>0.78</v>
      </c>
      <c r="O298" s="209">
        <v>46.11</v>
      </c>
      <c r="P298" s="139">
        <v>144.54</v>
      </c>
      <c r="Q298" s="139">
        <v>51.57</v>
      </c>
      <c r="R298" s="139">
        <v>27.62</v>
      </c>
      <c r="S298" s="179">
        <f t="shared" si="8"/>
        <v>27.615833077631173</v>
      </c>
      <c r="T298" s="179">
        <f t="shared" si="9"/>
        <v>4.1669223688280965E-3</v>
      </c>
      <c r="U298" s="179"/>
      <c r="V298" s="150" t="s">
        <v>460</v>
      </c>
      <c r="W298" s="139">
        <v>9.5</v>
      </c>
      <c r="X298" s="139">
        <v>11</v>
      </c>
    </row>
    <row r="299" spans="2:24" x14ac:dyDescent="0.3">
      <c r="B299" s="139">
        <v>296</v>
      </c>
      <c r="C299" s="139">
        <v>630</v>
      </c>
      <c r="D299" s="139" t="s">
        <v>1031</v>
      </c>
      <c r="E299" s="151" t="s">
        <v>283</v>
      </c>
      <c r="F299" s="196" t="s">
        <v>1032</v>
      </c>
      <c r="G299" s="95" t="s">
        <v>458</v>
      </c>
      <c r="H299" s="139">
        <v>1</v>
      </c>
      <c r="I299" s="139">
        <v>1</v>
      </c>
      <c r="J299" s="139">
        <v>4.0399999999999998E-2</v>
      </c>
      <c r="K299" s="139">
        <v>4.0399999999999998E-2</v>
      </c>
      <c r="L299" s="95" t="s">
        <v>459</v>
      </c>
      <c r="M299" s="139">
        <v>2</v>
      </c>
      <c r="N299" s="139">
        <v>8.7899999999999991</v>
      </c>
      <c r="O299" s="209">
        <v>49.51</v>
      </c>
      <c r="P299" s="139">
        <v>155.85</v>
      </c>
      <c r="Q299" s="139">
        <v>35.01</v>
      </c>
      <c r="R299" s="139">
        <v>49.51</v>
      </c>
      <c r="S299" s="179">
        <f t="shared" si="8"/>
        <v>49.504950495049506</v>
      </c>
      <c r="T299" s="179">
        <f t="shared" si="9"/>
        <v>5.0495049504917233E-3</v>
      </c>
      <c r="U299" s="179"/>
      <c r="V299" s="150" t="s">
        <v>460</v>
      </c>
      <c r="W299" s="139">
        <v>9.5</v>
      </c>
      <c r="X299" s="139">
        <v>11</v>
      </c>
    </row>
    <row r="300" spans="2:24" x14ac:dyDescent="0.3">
      <c r="B300" s="139">
        <v>297</v>
      </c>
      <c r="C300" s="139">
        <v>631</v>
      </c>
      <c r="D300" s="139" t="s">
        <v>1033</v>
      </c>
      <c r="E300" s="151" t="s">
        <v>283</v>
      </c>
      <c r="F300" s="196" t="s">
        <v>1034</v>
      </c>
      <c r="G300" s="95" t="s">
        <v>458</v>
      </c>
      <c r="H300" s="139">
        <v>7</v>
      </c>
      <c r="I300" s="139">
        <v>2</v>
      </c>
      <c r="J300" s="139">
        <v>0.13159999999999999</v>
      </c>
      <c r="K300" s="139">
        <v>0.13139999999999999</v>
      </c>
      <c r="L300" s="95" t="s">
        <v>459</v>
      </c>
      <c r="M300" s="139">
        <v>3</v>
      </c>
      <c r="N300" s="139">
        <v>0.19</v>
      </c>
      <c r="O300" s="209">
        <v>54.22</v>
      </c>
      <c r="P300" s="139">
        <v>209.34</v>
      </c>
      <c r="Q300" s="139">
        <v>77.28</v>
      </c>
      <c r="R300" s="139">
        <v>22.83</v>
      </c>
      <c r="S300" s="179">
        <f t="shared" si="8"/>
        <v>22.831050228310506</v>
      </c>
      <c r="T300" s="179">
        <f t="shared" si="9"/>
        <v>1.050228310507606E-3</v>
      </c>
      <c r="U300" s="179"/>
      <c r="V300" s="150" t="s">
        <v>460</v>
      </c>
      <c r="W300" s="150" t="s">
        <v>460</v>
      </c>
      <c r="X300" s="150" t="s">
        <v>460</v>
      </c>
    </row>
    <row r="301" spans="2:24" x14ac:dyDescent="0.3">
      <c r="B301" s="139">
        <v>298</v>
      </c>
      <c r="C301" s="139">
        <v>632</v>
      </c>
      <c r="D301" s="139" t="s">
        <v>1035</v>
      </c>
      <c r="E301" s="151" t="s">
        <v>283</v>
      </c>
      <c r="F301" s="196" t="s">
        <v>1036</v>
      </c>
      <c r="G301" s="95" t="s">
        <v>458</v>
      </c>
      <c r="H301" s="139">
        <v>8</v>
      </c>
      <c r="I301" s="139">
        <v>2</v>
      </c>
      <c r="J301" s="139">
        <v>0.15790000000000001</v>
      </c>
      <c r="K301" s="139">
        <v>0.15409999999999999</v>
      </c>
      <c r="L301" s="95" t="s">
        <v>459</v>
      </c>
      <c r="M301" s="139">
        <v>4</v>
      </c>
      <c r="N301" s="139">
        <v>0.17</v>
      </c>
      <c r="O301" s="209">
        <v>39.119999999999997</v>
      </c>
      <c r="P301" s="139">
        <v>147.19</v>
      </c>
      <c r="Q301" s="139">
        <v>54.3</v>
      </c>
      <c r="R301" s="139">
        <v>25.96</v>
      </c>
      <c r="S301" s="179">
        <f t="shared" si="8"/>
        <v>25.957170668397147</v>
      </c>
      <c r="T301" s="179">
        <f t="shared" si="9"/>
        <v>2.8293316028538129E-3</v>
      </c>
      <c r="U301" s="179"/>
      <c r="V301" s="150" t="s">
        <v>460</v>
      </c>
      <c r="W301" s="150" t="s">
        <v>460</v>
      </c>
      <c r="X301" s="150" t="s">
        <v>460</v>
      </c>
    </row>
    <row r="302" spans="2:24" x14ac:dyDescent="0.3">
      <c r="B302" s="139">
        <v>299</v>
      </c>
      <c r="C302" s="139">
        <v>633</v>
      </c>
      <c r="D302" s="139" t="s">
        <v>1037</v>
      </c>
      <c r="E302" s="151" t="s">
        <v>283</v>
      </c>
      <c r="F302" s="196" t="s">
        <v>1038</v>
      </c>
      <c r="G302" s="95" t="s">
        <v>458</v>
      </c>
      <c r="H302" s="139">
        <v>19</v>
      </c>
      <c r="I302" s="139">
        <v>1</v>
      </c>
      <c r="J302" s="139">
        <v>0.33289999999999997</v>
      </c>
      <c r="K302" s="139">
        <v>0.33289999999999997</v>
      </c>
      <c r="L302" s="95" t="s">
        <v>459</v>
      </c>
      <c r="M302" s="139">
        <v>7</v>
      </c>
      <c r="N302" s="139">
        <v>9.8699999999999992</v>
      </c>
      <c r="O302" s="209">
        <v>21.03</v>
      </c>
      <c r="P302" s="139">
        <v>39.51</v>
      </c>
      <c r="Q302" s="139">
        <v>7.95</v>
      </c>
      <c r="R302" s="139">
        <v>21.03</v>
      </c>
      <c r="S302" s="179">
        <f t="shared" si="8"/>
        <v>21.027335536197057</v>
      </c>
      <c r="T302" s="179">
        <f t="shared" si="9"/>
        <v>2.6644638029438283E-3</v>
      </c>
      <c r="U302" s="179"/>
      <c r="V302" s="150" t="s">
        <v>460</v>
      </c>
      <c r="W302" s="139">
        <v>3.1</v>
      </c>
      <c r="X302" s="139">
        <v>6</v>
      </c>
    </row>
    <row r="303" spans="2:24" x14ac:dyDescent="0.3">
      <c r="B303" s="139">
        <v>300</v>
      </c>
      <c r="C303" s="139">
        <v>634</v>
      </c>
      <c r="D303" s="139" t="s">
        <v>1039</v>
      </c>
      <c r="E303" s="151" t="s">
        <v>283</v>
      </c>
      <c r="F303" s="196" t="s">
        <v>1040</v>
      </c>
      <c r="G303" s="95" t="s">
        <v>458</v>
      </c>
      <c r="H303" s="139">
        <v>19</v>
      </c>
      <c r="I303" s="139">
        <v>1</v>
      </c>
      <c r="J303" s="139">
        <v>0.33289999999999997</v>
      </c>
      <c r="K303" s="139">
        <v>0.33289999999999997</v>
      </c>
      <c r="L303" s="95" t="s">
        <v>459</v>
      </c>
      <c r="M303" s="139">
        <v>7</v>
      </c>
      <c r="N303" s="139">
        <v>9.8699999999999992</v>
      </c>
      <c r="O303" s="209">
        <v>21.03</v>
      </c>
      <c r="P303" s="139">
        <v>39.51</v>
      </c>
      <c r="Q303" s="139">
        <v>7.95</v>
      </c>
      <c r="R303" s="139">
        <v>21.03</v>
      </c>
      <c r="S303" s="179">
        <f t="shared" si="8"/>
        <v>21.027335536197057</v>
      </c>
      <c r="T303" s="179">
        <f t="shared" si="9"/>
        <v>2.6644638029438283E-3</v>
      </c>
      <c r="U303" s="179"/>
      <c r="V303" s="150" t="s">
        <v>460</v>
      </c>
      <c r="W303" s="139">
        <v>3.1</v>
      </c>
      <c r="X303" s="139">
        <v>6</v>
      </c>
    </row>
    <row r="304" spans="2:24" x14ac:dyDescent="0.3">
      <c r="B304" s="139">
        <v>301</v>
      </c>
      <c r="C304" s="139">
        <v>635</v>
      </c>
      <c r="D304" s="139" t="s">
        <v>1041</v>
      </c>
      <c r="E304" s="151" t="s">
        <v>283</v>
      </c>
      <c r="F304" s="196" t="s">
        <v>1042</v>
      </c>
      <c r="G304" s="95" t="s">
        <v>458</v>
      </c>
      <c r="H304" s="139">
        <v>15</v>
      </c>
      <c r="I304" s="139">
        <v>3</v>
      </c>
      <c r="J304" s="214">
        <v>0.184</v>
      </c>
      <c r="K304" s="214">
        <v>0.1817</v>
      </c>
      <c r="L304" s="95" t="s">
        <v>459</v>
      </c>
      <c r="M304" s="139">
        <v>0</v>
      </c>
      <c r="N304" s="139">
        <v>0.01</v>
      </c>
      <c r="O304" s="209">
        <v>2.5</v>
      </c>
      <c r="P304" s="214">
        <v>9.6199999999999992</v>
      </c>
      <c r="Q304" s="139">
        <v>3.54</v>
      </c>
      <c r="R304" s="150">
        <v>0</v>
      </c>
      <c r="S304" s="179">
        <f t="shared" si="8"/>
        <v>0</v>
      </c>
      <c r="T304" s="179">
        <f t="shared" si="9"/>
        <v>0</v>
      </c>
      <c r="U304" s="179"/>
      <c r="V304" s="150" t="s">
        <v>460</v>
      </c>
      <c r="W304" s="150" t="s">
        <v>460</v>
      </c>
      <c r="X304" s="150" t="s">
        <v>460</v>
      </c>
    </row>
    <row r="305" spans="2:24" x14ac:dyDescent="0.3">
      <c r="B305" s="139">
        <v>302</v>
      </c>
      <c r="C305" s="139">
        <v>636</v>
      </c>
      <c r="D305" s="139" t="s">
        <v>1043</v>
      </c>
      <c r="E305" s="151" t="s">
        <v>283</v>
      </c>
      <c r="F305" s="196" t="s">
        <v>1044</v>
      </c>
      <c r="G305" s="95" t="s">
        <v>458</v>
      </c>
      <c r="H305" s="139">
        <v>6</v>
      </c>
      <c r="I305" s="139">
        <v>1</v>
      </c>
      <c r="J305" s="139">
        <v>0.1051</v>
      </c>
      <c r="K305" s="139">
        <v>0.1051</v>
      </c>
      <c r="L305" s="95" t="s">
        <v>459</v>
      </c>
      <c r="M305" s="139">
        <v>0</v>
      </c>
      <c r="N305" s="210">
        <v>6.0000000000000001E-3</v>
      </c>
      <c r="O305" s="209">
        <v>1.64</v>
      </c>
      <c r="P305" s="139">
        <v>6.3</v>
      </c>
      <c r="Q305" s="139">
        <v>2.3199999999999998</v>
      </c>
      <c r="R305" s="150">
        <v>0</v>
      </c>
      <c r="S305" s="179">
        <f t="shared" si="8"/>
        <v>0</v>
      </c>
      <c r="T305" s="179">
        <f t="shared" si="9"/>
        <v>0</v>
      </c>
      <c r="U305" s="179"/>
      <c r="V305" s="150" t="s">
        <v>460</v>
      </c>
      <c r="W305" s="150" t="s">
        <v>460</v>
      </c>
      <c r="X305" s="150" t="s">
        <v>460</v>
      </c>
    </row>
    <row r="306" spans="2:24" x14ac:dyDescent="0.3">
      <c r="B306" s="139">
        <v>303</v>
      </c>
      <c r="C306" s="139">
        <v>637</v>
      </c>
      <c r="D306" s="139" t="s">
        <v>1045</v>
      </c>
      <c r="E306" s="151" t="s">
        <v>283</v>
      </c>
      <c r="F306" s="196" t="s">
        <v>1046</v>
      </c>
      <c r="G306" s="95" t="s">
        <v>458</v>
      </c>
      <c r="H306" s="139">
        <v>3</v>
      </c>
      <c r="I306" s="139">
        <v>1</v>
      </c>
      <c r="J306" s="139">
        <v>2.63E-2</v>
      </c>
      <c r="K306" s="139">
        <v>0.254</v>
      </c>
      <c r="L306" s="95" t="s">
        <v>459</v>
      </c>
      <c r="M306" s="139">
        <v>0</v>
      </c>
      <c r="N306" s="139">
        <v>0.01</v>
      </c>
      <c r="O306" s="209">
        <v>2.2200000000000002</v>
      </c>
      <c r="P306" s="139">
        <v>8.5299999999999994</v>
      </c>
      <c r="Q306" s="139">
        <v>3.14</v>
      </c>
      <c r="R306" s="150">
        <v>0</v>
      </c>
      <c r="S306" s="179">
        <f t="shared" si="8"/>
        <v>0</v>
      </c>
      <c r="T306" s="179">
        <f t="shared" si="9"/>
        <v>0</v>
      </c>
      <c r="U306" s="179"/>
      <c r="V306" s="150" t="s">
        <v>460</v>
      </c>
      <c r="W306" s="150" t="s">
        <v>460</v>
      </c>
      <c r="X306" s="150" t="s">
        <v>460</v>
      </c>
    </row>
    <row r="307" spans="2:24" x14ac:dyDescent="0.3">
      <c r="B307" s="139">
        <v>304</v>
      </c>
      <c r="C307" s="139">
        <v>638</v>
      </c>
      <c r="D307" s="139" t="s">
        <v>1047</v>
      </c>
      <c r="E307" s="151" t="s">
        <v>283</v>
      </c>
      <c r="F307" s="196" t="s">
        <v>1048</v>
      </c>
      <c r="G307" s="95" t="s">
        <v>458</v>
      </c>
      <c r="H307" s="139">
        <v>5</v>
      </c>
      <c r="I307" s="139">
        <v>1</v>
      </c>
      <c r="J307" s="139">
        <v>4.3799999999999999E-2</v>
      </c>
      <c r="K307" s="139">
        <v>4.24E-2</v>
      </c>
      <c r="L307" s="95" t="s">
        <v>459</v>
      </c>
      <c r="M307" s="139">
        <v>0</v>
      </c>
      <c r="N307" s="139">
        <v>0.01</v>
      </c>
      <c r="O307" s="209">
        <v>2.0699999999999998</v>
      </c>
      <c r="P307" s="139">
        <v>7.93</v>
      </c>
      <c r="Q307" s="139">
        <v>2.92</v>
      </c>
      <c r="R307" s="150">
        <v>0</v>
      </c>
      <c r="S307" s="179">
        <f t="shared" si="8"/>
        <v>0</v>
      </c>
      <c r="T307" s="179">
        <f t="shared" si="9"/>
        <v>0</v>
      </c>
      <c r="U307" s="179"/>
      <c r="V307" s="150" t="s">
        <v>460</v>
      </c>
      <c r="W307" s="150" t="s">
        <v>460</v>
      </c>
      <c r="X307" s="150" t="s">
        <v>460</v>
      </c>
    </row>
    <row r="308" spans="2:24" x14ac:dyDescent="0.3">
      <c r="B308" s="139">
        <v>305</v>
      </c>
      <c r="C308" s="139">
        <v>639</v>
      </c>
      <c r="D308" s="139" t="s">
        <v>1049</v>
      </c>
      <c r="E308" s="151" t="s">
        <v>283</v>
      </c>
      <c r="F308" s="196" t="s">
        <v>1050</v>
      </c>
      <c r="G308" s="95" t="s">
        <v>458</v>
      </c>
      <c r="H308" s="139">
        <v>1</v>
      </c>
      <c r="I308" s="139">
        <v>1</v>
      </c>
      <c r="J308" s="139">
        <v>8.8000000000000005E-3</v>
      </c>
      <c r="K308" s="139">
        <v>8.8000000000000005E-3</v>
      </c>
      <c r="L308" s="95" t="s">
        <v>459</v>
      </c>
      <c r="M308" s="139">
        <v>0</v>
      </c>
      <c r="N308" s="139">
        <v>0.01</v>
      </c>
      <c r="O308" s="209">
        <v>2.4</v>
      </c>
      <c r="P308" s="139">
        <v>9.2100000000000009</v>
      </c>
      <c r="Q308" s="139">
        <v>3.39</v>
      </c>
      <c r="R308" s="150">
        <v>0</v>
      </c>
      <c r="S308" s="179">
        <f t="shared" si="8"/>
        <v>0</v>
      </c>
      <c r="T308" s="179">
        <f t="shared" si="9"/>
        <v>0</v>
      </c>
      <c r="U308" s="179"/>
      <c r="V308" s="150" t="s">
        <v>460</v>
      </c>
      <c r="W308" s="150" t="s">
        <v>460</v>
      </c>
      <c r="X308" s="150" t="s">
        <v>460</v>
      </c>
    </row>
    <row r="309" spans="2:24" x14ac:dyDescent="0.3">
      <c r="B309" s="139">
        <v>306</v>
      </c>
      <c r="C309" s="139">
        <v>641</v>
      </c>
      <c r="D309" s="139" t="s">
        <v>1051</v>
      </c>
      <c r="E309" s="151" t="s">
        <v>283</v>
      </c>
      <c r="F309" s="196" t="s">
        <v>1052</v>
      </c>
      <c r="G309" s="95" t="s">
        <v>458</v>
      </c>
      <c r="H309" s="139">
        <v>164</v>
      </c>
      <c r="I309" s="139">
        <v>3</v>
      </c>
      <c r="J309" s="139">
        <v>4.5679999999999996</v>
      </c>
      <c r="K309" s="139">
        <v>4.5640999999999998</v>
      </c>
      <c r="L309" s="95" t="s">
        <v>459</v>
      </c>
      <c r="M309" s="139">
        <v>41</v>
      </c>
      <c r="N309" s="139">
        <v>0.49</v>
      </c>
      <c r="O309" s="209">
        <v>19.559999999999999</v>
      </c>
      <c r="P309" s="139">
        <v>59.95</v>
      </c>
      <c r="Q309" s="139">
        <v>20.94</v>
      </c>
      <c r="R309" s="214">
        <v>8.98</v>
      </c>
      <c r="S309" s="179">
        <f t="shared" si="8"/>
        <v>8.9831511141298392</v>
      </c>
      <c r="T309" s="179">
        <f t="shared" si="9"/>
        <v>3.1511141298388168E-3</v>
      </c>
      <c r="U309" s="179"/>
      <c r="V309" s="150" t="s">
        <v>460</v>
      </c>
      <c r="W309" s="139">
        <v>3.8</v>
      </c>
      <c r="X309" s="139">
        <v>23</v>
      </c>
    </row>
    <row r="310" spans="2:24" x14ac:dyDescent="0.3">
      <c r="B310" s="139">
        <v>307</v>
      </c>
      <c r="C310" s="139">
        <v>644</v>
      </c>
      <c r="D310" s="139" t="s">
        <v>1053</v>
      </c>
      <c r="E310" s="151" t="s">
        <v>283</v>
      </c>
      <c r="F310" s="196" t="s">
        <v>1054</v>
      </c>
      <c r="G310" s="95" t="s">
        <v>458</v>
      </c>
      <c r="H310" s="139">
        <v>1</v>
      </c>
      <c r="I310" s="139">
        <v>1</v>
      </c>
      <c r="J310" s="139">
        <v>4.0399999999999998E-2</v>
      </c>
      <c r="K310" s="139">
        <v>4.0399999999999998E-2</v>
      </c>
      <c r="L310" s="95" t="s">
        <v>459</v>
      </c>
      <c r="M310" s="139">
        <v>2</v>
      </c>
      <c r="N310" s="139">
        <v>8.7899999999999991</v>
      </c>
      <c r="O310" s="209">
        <v>49.51</v>
      </c>
      <c r="P310" s="139">
        <v>155.85</v>
      </c>
      <c r="Q310" s="139">
        <v>35.01</v>
      </c>
      <c r="R310" s="139">
        <v>49.51</v>
      </c>
      <c r="S310" s="179">
        <f t="shared" si="8"/>
        <v>49.504950495049506</v>
      </c>
      <c r="T310" s="179">
        <f t="shared" si="9"/>
        <v>5.0495049504917233E-3</v>
      </c>
      <c r="U310" s="179"/>
      <c r="V310" s="150" t="s">
        <v>460</v>
      </c>
      <c r="W310" s="139">
        <v>3</v>
      </c>
      <c r="X310" s="139">
        <v>4</v>
      </c>
    </row>
    <row r="311" spans="2:24" x14ac:dyDescent="0.3">
      <c r="B311" s="139">
        <v>308</v>
      </c>
      <c r="C311" s="139">
        <v>645</v>
      </c>
      <c r="D311" s="139" t="s">
        <v>1055</v>
      </c>
      <c r="E311" s="151" t="s">
        <v>283</v>
      </c>
      <c r="F311" s="196" t="s">
        <v>1056</v>
      </c>
      <c r="G311" s="95" t="s">
        <v>458</v>
      </c>
      <c r="H311" s="139">
        <v>1</v>
      </c>
      <c r="I311" s="139">
        <v>1</v>
      </c>
      <c r="J311" s="139">
        <v>4.0399999999999998E-2</v>
      </c>
      <c r="K311" s="139">
        <v>4.0399999999999998E-2</v>
      </c>
      <c r="L311" s="95" t="s">
        <v>459</v>
      </c>
      <c r="M311" s="139">
        <v>2</v>
      </c>
      <c r="N311" s="139">
        <v>8.7899999999999991</v>
      </c>
      <c r="O311" s="209">
        <v>49.51</v>
      </c>
      <c r="P311" s="139">
        <v>155.85</v>
      </c>
      <c r="Q311" s="139">
        <v>35.01</v>
      </c>
      <c r="R311" s="139">
        <v>49.51</v>
      </c>
      <c r="S311" s="179">
        <f t="shared" si="8"/>
        <v>49.504950495049506</v>
      </c>
      <c r="T311" s="179">
        <f t="shared" si="9"/>
        <v>5.0495049504917233E-3</v>
      </c>
      <c r="U311" s="179"/>
      <c r="V311" s="150" t="s">
        <v>460</v>
      </c>
      <c r="W311" s="139">
        <v>3</v>
      </c>
      <c r="X311" s="139">
        <v>4</v>
      </c>
    </row>
    <row r="312" spans="2:24" x14ac:dyDescent="0.3">
      <c r="B312" s="139">
        <v>309</v>
      </c>
      <c r="C312" s="139">
        <v>646</v>
      </c>
      <c r="D312" s="139" t="s">
        <v>1057</v>
      </c>
      <c r="E312" s="151" t="s">
        <v>283</v>
      </c>
      <c r="F312" s="196" t="s">
        <v>1058</v>
      </c>
      <c r="G312" s="95" t="s">
        <v>458</v>
      </c>
      <c r="H312" s="139">
        <v>42</v>
      </c>
      <c r="I312" s="139">
        <v>1</v>
      </c>
      <c r="J312" s="139">
        <v>1.1693</v>
      </c>
      <c r="K312" s="139">
        <v>1.1682999999999999</v>
      </c>
      <c r="L312" s="95" t="s">
        <v>459</v>
      </c>
      <c r="M312" s="139">
        <v>0</v>
      </c>
      <c r="N312" s="210">
        <v>2E-3</v>
      </c>
      <c r="O312" s="209">
        <v>0.42</v>
      </c>
      <c r="P312" s="139">
        <v>1.61</v>
      </c>
      <c r="Q312" s="139">
        <v>0.59</v>
      </c>
      <c r="R312" s="150">
        <v>0</v>
      </c>
      <c r="S312" s="179">
        <f t="shared" si="8"/>
        <v>0</v>
      </c>
      <c r="T312" s="179">
        <f t="shared" si="9"/>
        <v>0</v>
      </c>
      <c r="U312" s="179"/>
      <c r="V312" s="150" t="s">
        <v>460</v>
      </c>
      <c r="W312" s="150" t="s">
        <v>460</v>
      </c>
      <c r="X312" s="150" t="s">
        <v>460</v>
      </c>
    </row>
    <row r="313" spans="2:24" x14ac:dyDescent="0.3">
      <c r="B313" s="139">
        <v>310</v>
      </c>
      <c r="C313" s="139">
        <v>647</v>
      </c>
      <c r="D313" s="139" t="s">
        <v>1059</v>
      </c>
      <c r="E313" s="151" t="s">
        <v>283</v>
      </c>
      <c r="F313" s="196" t="s">
        <v>1060</v>
      </c>
      <c r="G313" s="95" t="s">
        <v>458</v>
      </c>
      <c r="H313" s="139">
        <v>42</v>
      </c>
      <c r="I313" s="139">
        <v>1</v>
      </c>
      <c r="J313" s="139">
        <v>1.1693</v>
      </c>
      <c r="K313" s="139">
        <v>1.1682999999999999</v>
      </c>
      <c r="L313" s="95" t="s">
        <v>459</v>
      </c>
      <c r="M313" s="139">
        <v>0</v>
      </c>
      <c r="N313" s="210">
        <v>8.0000000000000004E-4</v>
      </c>
      <c r="O313" s="209">
        <v>0.21</v>
      </c>
      <c r="P313" s="139">
        <v>0.81</v>
      </c>
      <c r="Q313" s="139">
        <v>0.3</v>
      </c>
      <c r="R313" s="150">
        <v>0</v>
      </c>
      <c r="S313" s="179">
        <f t="shared" si="8"/>
        <v>0</v>
      </c>
      <c r="T313" s="179">
        <f t="shared" si="9"/>
        <v>0</v>
      </c>
      <c r="U313" s="179"/>
      <c r="V313" s="150" t="s">
        <v>460</v>
      </c>
      <c r="W313" s="150" t="s">
        <v>460</v>
      </c>
      <c r="X313" s="150" t="s">
        <v>460</v>
      </c>
    </row>
    <row r="314" spans="2:24" x14ac:dyDescent="0.3">
      <c r="B314" s="139">
        <v>311</v>
      </c>
      <c r="C314" s="139">
        <v>648</v>
      </c>
      <c r="D314" s="139" t="s">
        <v>1061</v>
      </c>
      <c r="E314" s="151" t="s">
        <v>283</v>
      </c>
      <c r="F314" s="196" t="s">
        <v>1062</v>
      </c>
      <c r="G314" s="95" t="s">
        <v>458</v>
      </c>
      <c r="H314" s="139">
        <v>6</v>
      </c>
      <c r="I314" s="139">
        <v>1</v>
      </c>
      <c r="J314" s="139">
        <v>0.16700000000000001</v>
      </c>
      <c r="K314" s="139">
        <v>0.16689999999999999</v>
      </c>
      <c r="L314" s="95" t="s">
        <v>459</v>
      </c>
      <c r="M314" s="139">
        <v>14</v>
      </c>
      <c r="N314" s="139">
        <v>50.7</v>
      </c>
      <c r="O314" s="209">
        <v>83.88</v>
      </c>
      <c r="P314" s="139">
        <v>131.12</v>
      </c>
      <c r="Q314" s="139">
        <v>22.42</v>
      </c>
      <c r="R314" s="150">
        <v>83.88</v>
      </c>
      <c r="S314" s="179">
        <f t="shared" si="8"/>
        <v>83.882564409826244</v>
      </c>
      <c r="T314" s="179">
        <f t="shared" si="9"/>
        <v>2.5644098262489479E-3</v>
      </c>
      <c r="U314" s="179"/>
      <c r="V314" s="150" t="s">
        <v>460</v>
      </c>
      <c r="W314" s="139">
        <v>5.4</v>
      </c>
      <c r="X314" s="139">
        <v>23</v>
      </c>
    </row>
    <row r="315" spans="2:24" x14ac:dyDescent="0.3">
      <c r="B315" s="139">
        <v>312</v>
      </c>
      <c r="C315" s="139">
        <v>649</v>
      </c>
      <c r="D315" s="139" t="s">
        <v>1063</v>
      </c>
      <c r="E315" s="151" t="s">
        <v>283</v>
      </c>
      <c r="F315" s="196" t="s">
        <v>1064</v>
      </c>
      <c r="G315" s="95" t="s">
        <v>458</v>
      </c>
      <c r="H315" s="139">
        <v>6</v>
      </c>
      <c r="I315" s="139">
        <v>1</v>
      </c>
      <c r="J315" s="139">
        <v>0.16700000000000001</v>
      </c>
      <c r="K315" s="139">
        <v>0.16689999999999999</v>
      </c>
      <c r="L315" s="95" t="s">
        <v>459</v>
      </c>
      <c r="M315" s="139">
        <v>14</v>
      </c>
      <c r="N315" s="139">
        <v>50.7</v>
      </c>
      <c r="O315" s="209">
        <v>83.88</v>
      </c>
      <c r="P315" s="139">
        <v>131.12</v>
      </c>
      <c r="Q315" s="139">
        <v>22.42</v>
      </c>
      <c r="R315" s="139">
        <v>83.88</v>
      </c>
      <c r="S315" s="179">
        <f t="shared" si="8"/>
        <v>83.882564409826244</v>
      </c>
      <c r="T315" s="179">
        <f t="shared" si="9"/>
        <v>2.5644098262489479E-3</v>
      </c>
      <c r="U315" s="179"/>
      <c r="V315" s="150" t="s">
        <v>460</v>
      </c>
      <c r="W315" s="139">
        <v>5.4</v>
      </c>
      <c r="X315" s="139">
        <v>23</v>
      </c>
    </row>
    <row r="316" spans="2:24" x14ac:dyDescent="0.3">
      <c r="B316" s="139">
        <v>313</v>
      </c>
      <c r="C316" s="139">
        <v>650</v>
      </c>
      <c r="D316" s="139" t="s">
        <v>1065</v>
      </c>
      <c r="E316" s="151" t="s">
        <v>283</v>
      </c>
      <c r="F316" s="196" t="s">
        <v>1066</v>
      </c>
      <c r="G316" s="95" t="s">
        <v>458</v>
      </c>
      <c r="H316" s="139">
        <v>1</v>
      </c>
      <c r="I316" s="139">
        <v>1</v>
      </c>
      <c r="J316" s="139">
        <v>1.7500000000000002E-2</v>
      </c>
      <c r="K316" s="139">
        <v>1.7500000000000002E-2</v>
      </c>
      <c r="L316" s="95" t="s">
        <v>459</v>
      </c>
      <c r="M316" s="139">
        <v>0</v>
      </c>
      <c r="N316" s="139">
        <v>0.05</v>
      </c>
      <c r="O316" s="209">
        <v>11.61</v>
      </c>
      <c r="P316" s="139">
        <v>44.57</v>
      </c>
      <c r="Q316" s="139">
        <v>16.41</v>
      </c>
      <c r="R316" s="150">
        <v>0</v>
      </c>
      <c r="S316" s="179">
        <f t="shared" si="8"/>
        <v>0</v>
      </c>
      <c r="T316" s="179">
        <f t="shared" si="9"/>
        <v>0</v>
      </c>
      <c r="U316" s="179"/>
      <c r="V316" s="150" t="s">
        <v>460</v>
      </c>
      <c r="W316" s="150" t="s">
        <v>460</v>
      </c>
      <c r="X316" s="150" t="s">
        <v>460</v>
      </c>
    </row>
    <row r="317" spans="2:24" x14ac:dyDescent="0.3">
      <c r="B317" s="139">
        <v>314</v>
      </c>
      <c r="C317" s="139">
        <v>651</v>
      </c>
      <c r="D317" s="139" t="s">
        <v>1067</v>
      </c>
      <c r="E317" s="151" t="s">
        <v>283</v>
      </c>
      <c r="F317" s="196" t="s">
        <v>1068</v>
      </c>
      <c r="G317" s="95" t="s">
        <v>458</v>
      </c>
      <c r="H317" s="139">
        <v>1</v>
      </c>
      <c r="I317" s="139">
        <v>1</v>
      </c>
      <c r="J317" s="139">
        <v>1.7500000000000002E-2</v>
      </c>
      <c r="K317" s="139">
        <v>1.7500000000000002E-2</v>
      </c>
      <c r="L317" s="95" t="s">
        <v>459</v>
      </c>
      <c r="M317" s="139">
        <v>0</v>
      </c>
      <c r="N317" s="139">
        <v>0.03</v>
      </c>
      <c r="O317" s="209">
        <v>8.25</v>
      </c>
      <c r="P317" s="139">
        <v>31.68</v>
      </c>
      <c r="Q317" s="139">
        <v>11.67</v>
      </c>
      <c r="R317" s="150">
        <v>0</v>
      </c>
      <c r="S317" s="179">
        <f t="shared" si="8"/>
        <v>0</v>
      </c>
      <c r="T317" s="179">
        <f t="shared" si="9"/>
        <v>0</v>
      </c>
      <c r="U317" s="179"/>
      <c r="V317" s="150" t="s">
        <v>460</v>
      </c>
      <c r="W317" s="150" t="s">
        <v>460</v>
      </c>
      <c r="X317" s="150" t="s">
        <v>460</v>
      </c>
    </row>
    <row r="318" spans="2:24" x14ac:dyDescent="0.3">
      <c r="B318" s="139">
        <v>315</v>
      </c>
      <c r="C318" s="139">
        <v>652</v>
      </c>
      <c r="D318" s="139" t="s">
        <v>1069</v>
      </c>
      <c r="E318" s="151" t="s">
        <v>283</v>
      </c>
      <c r="F318" s="196" t="s">
        <v>1070</v>
      </c>
      <c r="G318" s="95" t="s">
        <v>458</v>
      </c>
      <c r="H318" s="139">
        <v>114</v>
      </c>
      <c r="I318" s="139">
        <v>1</v>
      </c>
      <c r="J318" s="139">
        <v>3.1738</v>
      </c>
      <c r="K318" s="139">
        <v>3.1709999999999998</v>
      </c>
      <c r="L318" s="95" t="s">
        <v>459</v>
      </c>
      <c r="M318" s="139">
        <v>25</v>
      </c>
      <c r="N318" s="139">
        <v>5.48</v>
      </c>
      <c r="O318" s="209">
        <v>7.88</v>
      </c>
      <c r="P318" s="139">
        <v>11.01</v>
      </c>
      <c r="Q318" s="139">
        <v>1.58</v>
      </c>
      <c r="R318" s="139">
        <v>7.88</v>
      </c>
      <c r="S318" s="179">
        <f t="shared" si="8"/>
        <v>7.8839482812992747</v>
      </c>
      <c r="T318" s="179">
        <f t="shared" si="9"/>
        <v>3.9482812992748251E-3</v>
      </c>
      <c r="U318" s="179"/>
      <c r="V318" s="150" t="s">
        <v>460</v>
      </c>
      <c r="W318" s="139">
        <v>2.4</v>
      </c>
      <c r="X318" s="139">
        <v>4</v>
      </c>
    </row>
    <row r="319" spans="2:24" x14ac:dyDescent="0.3">
      <c r="B319" s="139">
        <v>316</v>
      </c>
      <c r="C319" s="139">
        <v>653</v>
      </c>
      <c r="D319" s="139" t="s">
        <v>1071</v>
      </c>
      <c r="E319" s="151" t="s">
        <v>283</v>
      </c>
      <c r="F319" s="196" t="s">
        <v>1072</v>
      </c>
      <c r="G319" s="95" t="s">
        <v>458</v>
      </c>
      <c r="H319" s="139">
        <v>114</v>
      </c>
      <c r="I319" s="139">
        <v>1</v>
      </c>
      <c r="J319" s="139">
        <v>3.1738</v>
      </c>
      <c r="K319" s="139">
        <v>3.1709999999999998</v>
      </c>
      <c r="L319" s="95" t="s">
        <v>459</v>
      </c>
      <c r="M319" s="139">
        <v>25</v>
      </c>
      <c r="N319" s="139">
        <v>5.48</v>
      </c>
      <c r="O319" s="209">
        <v>7.88</v>
      </c>
      <c r="P319" s="139">
        <v>11.01</v>
      </c>
      <c r="Q319" s="139">
        <v>1.58</v>
      </c>
      <c r="R319" s="139">
        <v>7.88</v>
      </c>
      <c r="S319" s="179">
        <f t="shared" si="8"/>
        <v>7.8839482812992747</v>
      </c>
      <c r="T319" s="179">
        <f t="shared" si="9"/>
        <v>3.9482812992748251E-3</v>
      </c>
      <c r="U319" s="179"/>
      <c r="V319" s="150" t="s">
        <v>460</v>
      </c>
      <c r="W319" s="139">
        <v>2.4</v>
      </c>
      <c r="X319" s="139">
        <v>4</v>
      </c>
    </row>
    <row r="320" spans="2:24" x14ac:dyDescent="0.3">
      <c r="B320" s="139">
        <v>317</v>
      </c>
      <c r="C320" s="139">
        <v>656</v>
      </c>
      <c r="D320" s="139" t="s">
        <v>1073</v>
      </c>
      <c r="E320" s="151" t="s">
        <v>283</v>
      </c>
      <c r="F320" s="196" t="s">
        <v>1074</v>
      </c>
      <c r="G320" s="95" t="s">
        <v>458</v>
      </c>
      <c r="H320" s="139">
        <v>907</v>
      </c>
      <c r="I320" s="139">
        <v>31</v>
      </c>
      <c r="J320" s="139">
        <v>22.29</v>
      </c>
      <c r="K320" s="139">
        <v>21.3734</v>
      </c>
      <c r="L320" s="95" t="s">
        <v>459</v>
      </c>
      <c r="M320" s="139">
        <v>289</v>
      </c>
      <c r="N320" s="139">
        <v>1.28</v>
      </c>
      <c r="O320" s="209">
        <v>13.92</v>
      </c>
      <c r="P320" s="139">
        <v>38.26</v>
      </c>
      <c r="Q320" s="139">
        <v>12.38</v>
      </c>
      <c r="R320" s="139">
        <v>13.52</v>
      </c>
      <c r="S320" s="179">
        <f t="shared" si="8"/>
        <v>13.521479970430535</v>
      </c>
      <c r="T320" s="179">
        <f t="shared" si="9"/>
        <v>1.4799704305357153E-3</v>
      </c>
      <c r="U320" s="179"/>
      <c r="V320" s="150" t="s">
        <v>460</v>
      </c>
      <c r="W320" s="139">
        <v>6.3</v>
      </c>
      <c r="X320" s="139">
        <v>113</v>
      </c>
    </row>
    <row r="321" spans="2:24" x14ac:dyDescent="0.3">
      <c r="B321" s="139">
        <v>318</v>
      </c>
      <c r="C321" s="139">
        <v>662</v>
      </c>
      <c r="D321" s="139" t="s">
        <v>1075</v>
      </c>
      <c r="E321" s="151" t="s">
        <v>283</v>
      </c>
      <c r="F321" s="196" t="s">
        <v>1076</v>
      </c>
      <c r="G321" s="95" t="s">
        <v>458</v>
      </c>
      <c r="H321" s="139">
        <v>149</v>
      </c>
      <c r="I321" s="139">
        <v>20</v>
      </c>
      <c r="J321" s="139">
        <v>3.9740000000000002</v>
      </c>
      <c r="K321" s="139">
        <v>3.8917999999999999</v>
      </c>
      <c r="L321" s="95" t="s">
        <v>459</v>
      </c>
      <c r="M321" s="139">
        <v>93</v>
      </c>
      <c r="N321" s="139">
        <v>3.24</v>
      </c>
      <c r="O321" s="209">
        <v>26.23</v>
      </c>
      <c r="P321" s="139">
        <v>67.61</v>
      </c>
      <c r="Q321" s="139">
        <v>21.12</v>
      </c>
      <c r="R321" s="139">
        <v>23.9</v>
      </c>
      <c r="S321" s="179">
        <f t="shared" si="8"/>
        <v>23.896397553831132</v>
      </c>
      <c r="T321" s="179">
        <f t="shared" si="9"/>
        <v>3.6024461688661802E-3</v>
      </c>
      <c r="U321" s="179"/>
      <c r="V321" s="150" t="s">
        <v>460</v>
      </c>
      <c r="W321" s="139">
        <v>8.6999999999999993</v>
      </c>
      <c r="X321" s="139">
        <v>113</v>
      </c>
    </row>
    <row r="322" spans="2:24" x14ac:dyDescent="0.3">
      <c r="B322" s="139">
        <v>319</v>
      </c>
      <c r="C322" s="139">
        <v>666</v>
      </c>
      <c r="D322" s="139" t="s">
        <v>1077</v>
      </c>
      <c r="E322" s="151" t="s">
        <v>283</v>
      </c>
      <c r="F322" s="196" t="s">
        <v>1078</v>
      </c>
      <c r="G322" s="95" t="s">
        <v>458</v>
      </c>
      <c r="H322" s="139">
        <v>2</v>
      </c>
      <c r="I322" s="139">
        <v>1</v>
      </c>
      <c r="J322" s="139">
        <v>5.2600000000000001E-2</v>
      </c>
      <c r="K322" s="139">
        <v>5.2600000000000001E-2</v>
      </c>
      <c r="L322" s="95" t="s">
        <v>459</v>
      </c>
      <c r="M322" s="139">
        <v>0</v>
      </c>
      <c r="N322" s="139">
        <v>0.03</v>
      </c>
      <c r="O322" s="209">
        <v>6.98</v>
      </c>
      <c r="P322" s="139">
        <v>26.81</v>
      </c>
      <c r="Q322" s="139">
        <v>9.8699999999999992</v>
      </c>
      <c r="R322" s="150">
        <v>0</v>
      </c>
      <c r="S322" s="179">
        <f t="shared" si="8"/>
        <v>0</v>
      </c>
      <c r="T322" s="179">
        <f t="shared" si="9"/>
        <v>0</v>
      </c>
      <c r="U322" s="179"/>
      <c r="V322" s="150" t="s">
        <v>460</v>
      </c>
      <c r="W322" s="150" t="s">
        <v>460</v>
      </c>
      <c r="X322" s="150" t="s">
        <v>460</v>
      </c>
    </row>
    <row r="323" spans="2:24" x14ac:dyDescent="0.3">
      <c r="B323" s="139">
        <v>320</v>
      </c>
      <c r="C323" s="139">
        <v>667</v>
      </c>
      <c r="D323" s="139" t="s">
        <v>1079</v>
      </c>
      <c r="E323" s="151" t="s">
        <v>283</v>
      </c>
      <c r="F323" s="196" t="s">
        <v>1080</v>
      </c>
      <c r="G323" s="95" t="s">
        <v>458</v>
      </c>
      <c r="H323" s="139">
        <v>3</v>
      </c>
      <c r="I323" s="139">
        <v>2</v>
      </c>
      <c r="J323" s="139">
        <v>7.5499999999999998E-2</v>
      </c>
      <c r="K323" s="139">
        <v>7.5399999999999995E-2</v>
      </c>
      <c r="L323" s="95" t="s">
        <v>459</v>
      </c>
      <c r="M323" s="139">
        <v>2</v>
      </c>
      <c r="N323" s="139">
        <v>4.74</v>
      </c>
      <c r="O323" s="209">
        <v>26.56</v>
      </c>
      <c r="P323" s="139">
        <v>62.94</v>
      </c>
      <c r="Q323" s="139">
        <v>18.75</v>
      </c>
      <c r="R323" s="139">
        <v>26.51</v>
      </c>
      <c r="S323" s="179">
        <f t="shared" si="8"/>
        <v>26.525198938992045</v>
      </c>
      <c r="T323" s="179">
        <f t="shared" si="9"/>
        <v>1.5198938992043054E-2</v>
      </c>
      <c r="U323" s="179"/>
      <c r="V323" s="150" t="s">
        <v>460</v>
      </c>
      <c r="W323" s="139">
        <v>6</v>
      </c>
      <c r="X323" s="139">
        <v>6</v>
      </c>
    </row>
    <row r="324" spans="2:24" x14ac:dyDescent="0.3">
      <c r="B324" s="139">
        <v>321</v>
      </c>
      <c r="C324" s="139">
        <v>668</v>
      </c>
      <c r="D324" s="139" t="s">
        <v>1081</v>
      </c>
      <c r="E324" s="151" t="s">
        <v>283</v>
      </c>
      <c r="F324" s="196" t="s">
        <v>1082</v>
      </c>
      <c r="G324" s="95" t="s">
        <v>458</v>
      </c>
      <c r="H324" s="139">
        <v>1</v>
      </c>
      <c r="I324" s="139">
        <v>1</v>
      </c>
      <c r="J324" s="139">
        <v>4.0399999999999998E-2</v>
      </c>
      <c r="K324" s="139">
        <v>4.0399999999999998E-2</v>
      </c>
      <c r="L324" s="95" t="s">
        <v>459</v>
      </c>
      <c r="M324" s="139">
        <v>0</v>
      </c>
      <c r="N324" s="139">
        <v>0.03</v>
      </c>
      <c r="O324" s="209">
        <v>8.41</v>
      </c>
      <c r="P324" s="139">
        <v>32.299999999999997</v>
      </c>
      <c r="Q324" s="139">
        <v>11.89</v>
      </c>
      <c r="R324" s="150">
        <v>0</v>
      </c>
      <c r="S324" s="179">
        <f t="shared" si="8"/>
        <v>0</v>
      </c>
      <c r="T324" s="179">
        <f t="shared" si="9"/>
        <v>0</v>
      </c>
      <c r="U324" s="179"/>
      <c r="V324" s="150" t="s">
        <v>460</v>
      </c>
      <c r="W324" s="150" t="s">
        <v>460</v>
      </c>
      <c r="X324" s="150" t="s">
        <v>460</v>
      </c>
    </row>
    <row r="325" spans="2:24" x14ac:dyDescent="0.3">
      <c r="B325" s="139">
        <v>322</v>
      </c>
      <c r="C325" s="139">
        <v>669</v>
      </c>
      <c r="D325" s="139" t="s">
        <v>258</v>
      </c>
      <c r="E325" s="151" t="s">
        <v>283</v>
      </c>
      <c r="F325" s="196" t="s">
        <v>1083</v>
      </c>
      <c r="G325" s="95" t="s">
        <v>458</v>
      </c>
      <c r="H325" s="139">
        <v>8</v>
      </c>
      <c r="I325" s="139">
        <v>1</v>
      </c>
      <c r="J325" s="139">
        <v>0.28070000000000001</v>
      </c>
      <c r="K325" s="139">
        <v>0.28029999999999999</v>
      </c>
      <c r="L325" s="95" t="s">
        <v>459</v>
      </c>
      <c r="M325" s="139">
        <v>3</v>
      </c>
      <c r="N325" s="139">
        <v>2.93</v>
      </c>
      <c r="O325" s="209">
        <v>10.7</v>
      </c>
      <c r="P325" s="139">
        <v>27.66</v>
      </c>
      <c r="Q325" s="139">
        <v>6.18</v>
      </c>
      <c r="R325" s="139">
        <v>10.7</v>
      </c>
      <c r="S325" s="179">
        <f t="shared" ref="S325:S388" si="10">M325/K325</f>
        <v>10.702818408847664</v>
      </c>
      <c r="T325" s="179">
        <f t="shared" ref="T325:T388" si="11">ABS(R325-S325)</f>
        <v>2.8184088476645996E-3</v>
      </c>
      <c r="U325" s="179"/>
      <c r="V325" s="150" t="s">
        <v>460</v>
      </c>
      <c r="W325" s="139">
        <v>60</v>
      </c>
      <c r="X325" s="139">
        <v>113</v>
      </c>
    </row>
    <row r="326" spans="2:24" x14ac:dyDescent="0.3">
      <c r="B326" s="139">
        <v>323</v>
      </c>
      <c r="C326" s="139">
        <v>670</v>
      </c>
      <c r="D326" s="139" t="s">
        <v>1084</v>
      </c>
      <c r="E326" s="151" t="s">
        <v>283</v>
      </c>
      <c r="F326" s="196" t="s">
        <v>1085</v>
      </c>
      <c r="G326" s="95" t="s">
        <v>458</v>
      </c>
      <c r="H326" s="139">
        <v>7</v>
      </c>
      <c r="I326" s="139">
        <v>1</v>
      </c>
      <c r="J326" s="139">
        <v>0.2021</v>
      </c>
      <c r="K326" s="139">
        <v>0.2019</v>
      </c>
      <c r="L326" s="95" t="s">
        <v>459</v>
      </c>
      <c r="M326" s="139">
        <v>3</v>
      </c>
      <c r="N326" s="139">
        <v>4.0599999999999996</v>
      </c>
      <c r="O326" s="209">
        <v>14.86</v>
      </c>
      <c r="P326" s="139">
        <v>38.409999999999997</v>
      </c>
      <c r="Q326" s="139">
        <v>8.58</v>
      </c>
      <c r="R326" s="139">
        <v>14.86</v>
      </c>
      <c r="S326" s="179">
        <f t="shared" si="10"/>
        <v>14.858841010401189</v>
      </c>
      <c r="T326" s="179">
        <f t="shared" si="11"/>
        <v>1.1589895988102228E-3</v>
      </c>
      <c r="U326" s="179"/>
      <c r="V326" s="150" t="s">
        <v>460</v>
      </c>
      <c r="W326" s="139">
        <v>4.3</v>
      </c>
      <c r="X326" s="139">
        <v>6</v>
      </c>
    </row>
    <row r="327" spans="2:24" x14ac:dyDescent="0.3">
      <c r="B327" s="139">
        <v>324</v>
      </c>
      <c r="C327" s="139">
        <v>671</v>
      </c>
      <c r="D327" s="139" t="s">
        <v>1086</v>
      </c>
      <c r="E327" s="151" t="s">
        <v>283</v>
      </c>
      <c r="F327" s="196" t="s">
        <v>1087</v>
      </c>
      <c r="G327" s="95" t="s">
        <v>458</v>
      </c>
      <c r="H327" s="139">
        <v>6</v>
      </c>
      <c r="I327" s="139">
        <v>1</v>
      </c>
      <c r="J327" s="139">
        <v>0.16170000000000001</v>
      </c>
      <c r="K327" s="139">
        <v>0.1615</v>
      </c>
      <c r="L327" s="95" t="s">
        <v>459</v>
      </c>
      <c r="M327" s="139">
        <v>2</v>
      </c>
      <c r="N327" s="139">
        <v>2.2000000000000002</v>
      </c>
      <c r="O327" s="209">
        <v>12.38</v>
      </c>
      <c r="P327" s="139">
        <v>38.97</v>
      </c>
      <c r="Q327" s="139">
        <v>8.76</v>
      </c>
      <c r="R327" s="139">
        <v>12.38</v>
      </c>
      <c r="S327" s="179">
        <f t="shared" si="10"/>
        <v>12.383900928792569</v>
      </c>
      <c r="T327" s="179">
        <f t="shared" si="11"/>
        <v>3.9009287925679814E-3</v>
      </c>
      <c r="U327" s="179"/>
      <c r="V327" s="150" t="s">
        <v>460</v>
      </c>
      <c r="W327" s="139">
        <v>2.2999999999999998</v>
      </c>
      <c r="X327" s="139">
        <v>2.5</v>
      </c>
    </row>
    <row r="328" spans="2:24" x14ac:dyDescent="0.3">
      <c r="B328" s="139">
        <v>325</v>
      </c>
      <c r="C328" s="139">
        <v>672</v>
      </c>
      <c r="D328" s="139" t="s">
        <v>1088</v>
      </c>
      <c r="E328" s="151" t="s">
        <v>283</v>
      </c>
      <c r="F328" s="196" t="s">
        <v>1089</v>
      </c>
      <c r="G328" s="95" t="s">
        <v>458</v>
      </c>
      <c r="H328" s="139">
        <v>42</v>
      </c>
      <c r="I328" s="139">
        <v>9</v>
      </c>
      <c r="J328" s="139">
        <v>1.0844</v>
      </c>
      <c r="K328" s="139">
        <v>1.0761000000000001</v>
      </c>
      <c r="L328" s="95" t="s">
        <v>459</v>
      </c>
      <c r="M328" s="139">
        <v>27</v>
      </c>
      <c r="N328" s="139">
        <v>2.0699999999999998</v>
      </c>
      <c r="O328" s="209">
        <v>25.94</v>
      </c>
      <c r="P328" s="139">
        <v>73.180000000000007</v>
      </c>
      <c r="Q328" s="139">
        <v>23.94</v>
      </c>
      <c r="R328" s="139">
        <v>25.09</v>
      </c>
      <c r="S328" s="179">
        <f t="shared" si="10"/>
        <v>25.09060496236409</v>
      </c>
      <c r="T328" s="179">
        <f t="shared" si="11"/>
        <v>6.0496236408980053E-4</v>
      </c>
      <c r="U328" s="179"/>
      <c r="V328" s="150" t="s">
        <v>460</v>
      </c>
      <c r="W328" s="139">
        <v>21</v>
      </c>
      <c r="X328" s="139">
        <v>100</v>
      </c>
    </row>
    <row r="329" spans="2:24" x14ac:dyDescent="0.3">
      <c r="B329" s="139">
        <v>326</v>
      </c>
      <c r="C329" s="139">
        <v>673</v>
      </c>
      <c r="D329" s="139" t="s">
        <v>1090</v>
      </c>
      <c r="E329" s="151" t="s">
        <v>283</v>
      </c>
      <c r="F329" s="196" t="s">
        <v>1091</v>
      </c>
      <c r="G329" s="95" t="s">
        <v>458</v>
      </c>
      <c r="H329" s="139">
        <v>43</v>
      </c>
      <c r="I329" s="139">
        <v>8</v>
      </c>
      <c r="J329" s="139">
        <v>0.8982</v>
      </c>
      <c r="K329" s="139">
        <v>0.88009999999999999</v>
      </c>
      <c r="L329" s="95" t="s">
        <v>459</v>
      </c>
      <c r="M329" s="139">
        <v>28</v>
      </c>
      <c r="N329" s="139">
        <v>3.98</v>
      </c>
      <c r="O329" s="209">
        <v>25.94</v>
      </c>
      <c r="P329" s="139">
        <v>63.93</v>
      </c>
      <c r="Q329" s="139">
        <v>19.52</v>
      </c>
      <c r="R329" s="139">
        <v>31.81</v>
      </c>
      <c r="S329" s="179">
        <f t="shared" si="10"/>
        <v>31.814566526531078</v>
      </c>
      <c r="T329" s="179">
        <f t="shared" si="11"/>
        <v>4.5665265310788072E-3</v>
      </c>
      <c r="U329" s="179"/>
      <c r="V329" s="150" t="s">
        <v>460</v>
      </c>
      <c r="W329" s="139">
        <v>4</v>
      </c>
      <c r="X329" s="139">
        <v>35</v>
      </c>
    </row>
    <row r="330" spans="2:24" x14ac:dyDescent="0.3">
      <c r="B330" s="139">
        <v>327</v>
      </c>
      <c r="C330" s="139">
        <v>674</v>
      </c>
      <c r="D330" s="139" t="s">
        <v>1092</v>
      </c>
      <c r="E330" s="151" t="s">
        <v>283</v>
      </c>
      <c r="F330" s="196" t="s">
        <v>1093</v>
      </c>
      <c r="G330" s="95" t="s">
        <v>458</v>
      </c>
      <c r="H330" s="139">
        <v>2</v>
      </c>
      <c r="I330" s="139">
        <v>1</v>
      </c>
      <c r="J330" s="139">
        <v>8.0799999999999997E-2</v>
      </c>
      <c r="K330" s="139">
        <v>8.0799999999999997E-2</v>
      </c>
      <c r="L330" s="95" t="s">
        <v>459</v>
      </c>
      <c r="M330" s="139">
        <v>0</v>
      </c>
      <c r="N330" s="139">
        <v>0.02</v>
      </c>
      <c r="O330" s="209">
        <v>5.01</v>
      </c>
      <c r="P330" s="139">
        <v>19.23</v>
      </c>
      <c r="Q330" s="139">
        <v>7.08</v>
      </c>
      <c r="R330" s="150">
        <v>0</v>
      </c>
      <c r="S330" s="179">
        <f t="shared" si="10"/>
        <v>0</v>
      </c>
      <c r="T330" s="179">
        <f t="shared" si="11"/>
        <v>0</v>
      </c>
      <c r="U330" s="179"/>
      <c r="V330" s="150" t="s">
        <v>460</v>
      </c>
      <c r="W330" s="150" t="s">
        <v>460</v>
      </c>
      <c r="X330" s="150" t="s">
        <v>460</v>
      </c>
    </row>
    <row r="331" spans="2:24" x14ac:dyDescent="0.3">
      <c r="B331" s="139">
        <v>328</v>
      </c>
      <c r="C331" s="139">
        <v>675</v>
      </c>
      <c r="D331" s="139" t="s">
        <v>1094</v>
      </c>
      <c r="E331" s="151" t="s">
        <v>283</v>
      </c>
      <c r="F331" s="196" t="s">
        <v>1095</v>
      </c>
      <c r="G331" s="95" t="s">
        <v>458</v>
      </c>
      <c r="H331" s="139">
        <v>6</v>
      </c>
      <c r="I331" s="139">
        <v>5</v>
      </c>
      <c r="J331" s="139">
        <v>0.1719</v>
      </c>
      <c r="K331" s="139">
        <v>0.17180000000000001</v>
      </c>
      <c r="L331" s="95" t="s">
        <v>459</v>
      </c>
      <c r="M331" s="139">
        <v>5</v>
      </c>
      <c r="N331" s="139">
        <v>2.9</v>
      </c>
      <c r="O331" s="209">
        <v>27.52</v>
      </c>
      <c r="P331" s="139">
        <v>73.48</v>
      </c>
      <c r="Q331" s="139">
        <v>23.41</v>
      </c>
      <c r="R331" s="139">
        <v>29.1</v>
      </c>
      <c r="S331" s="179">
        <f t="shared" si="10"/>
        <v>29.103608847497089</v>
      </c>
      <c r="T331" s="179">
        <f t="shared" si="11"/>
        <v>3.6088474970874529E-3</v>
      </c>
      <c r="U331" s="179"/>
      <c r="V331" s="150" t="s">
        <v>460</v>
      </c>
      <c r="W331" s="139">
        <v>9</v>
      </c>
      <c r="X331" s="139">
        <v>12</v>
      </c>
    </row>
    <row r="332" spans="2:24" x14ac:dyDescent="0.3">
      <c r="B332" s="139">
        <v>329</v>
      </c>
      <c r="C332" s="139">
        <v>676</v>
      </c>
      <c r="D332" s="139" t="s">
        <v>1096</v>
      </c>
      <c r="E332" s="151" t="s">
        <v>283</v>
      </c>
      <c r="F332" s="196" t="s">
        <v>1097</v>
      </c>
      <c r="G332" s="95" t="s">
        <v>458</v>
      </c>
      <c r="H332" s="139">
        <v>22</v>
      </c>
      <c r="I332" s="139">
        <v>6</v>
      </c>
      <c r="J332" s="139">
        <v>0.71140000000000003</v>
      </c>
      <c r="K332" s="139">
        <v>0.65669999999999995</v>
      </c>
      <c r="L332" s="95" t="s">
        <v>459</v>
      </c>
      <c r="M332" s="139">
        <v>10</v>
      </c>
      <c r="N332" s="139">
        <v>2.23</v>
      </c>
      <c r="O332" s="209">
        <v>20.23</v>
      </c>
      <c r="P332" s="139">
        <v>53.41</v>
      </c>
      <c r="Q332" s="139">
        <v>16.899999999999999</v>
      </c>
      <c r="R332" s="139">
        <v>15.23</v>
      </c>
      <c r="S332" s="179">
        <f t="shared" si="10"/>
        <v>15.227653418608194</v>
      </c>
      <c r="T332" s="179">
        <f t="shared" si="11"/>
        <v>2.346581391806879E-3</v>
      </c>
      <c r="U332" s="179"/>
      <c r="V332" s="150" t="s">
        <v>460</v>
      </c>
      <c r="W332" s="139">
        <v>6.3</v>
      </c>
      <c r="X332" s="139">
        <v>19</v>
      </c>
    </row>
    <row r="333" spans="2:24" x14ac:dyDescent="0.3">
      <c r="B333" s="139">
        <v>330</v>
      </c>
      <c r="C333" s="139">
        <v>677</v>
      </c>
      <c r="D333" s="139" t="s">
        <v>1098</v>
      </c>
      <c r="E333" s="151" t="s">
        <v>283</v>
      </c>
      <c r="F333" s="196" t="s">
        <v>1099</v>
      </c>
      <c r="G333" s="95" t="s">
        <v>458</v>
      </c>
      <c r="H333" s="139">
        <v>2</v>
      </c>
      <c r="I333" s="139">
        <v>1</v>
      </c>
      <c r="J333" s="139">
        <v>8.0799999999999997E-2</v>
      </c>
      <c r="K333" s="139">
        <v>8.0799999999999997E-2</v>
      </c>
      <c r="L333" s="95" t="s">
        <v>459</v>
      </c>
      <c r="M333" s="139">
        <v>3</v>
      </c>
      <c r="N333" s="139">
        <v>10.15</v>
      </c>
      <c r="O333" s="209">
        <v>37.14</v>
      </c>
      <c r="P333" s="139">
        <v>96</v>
      </c>
      <c r="Q333" s="139">
        <v>21.44</v>
      </c>
      <c r="R333" s="139">
        <v>37.14</v>
      </c>
      <c r="S333" s="179">
        <f t="shared" si="10"/>
        <v>37.128712871287128</v>
      </c>
      <c r="T333" s="179">
        <f t="shared" si="11"/>
        <v>1.1287128712872629E-2</v>
      </c>
      <c r="U333" s="179"/>
      <c r="V333" s="150" t="s">
        <v>460</v>
      </c>
      <c r="W333" s="139">
        <v>1.5</v>
      </c>
      <c r="X333" s="139">
        <v>3</v>
      </c>
    </row>
    <row r="334" spans="2:24" x14ac:dyDescent="0.3">
      <c r="B334" s="139">
        <v>331</v>
      </c>
      <c r="C334" s="139">
        <v>678</v>
      </c>
      <c r="D334" s="139" t="s">
        <v>1100</v>
      </c>
      <c r="E334" s="151" t="s">
        <v>283</v>
      </c>
      <c r="F334" s="196" t="s">
        <v>1101</v>
      </c>
      <c r="G334" s="95" t="s">
        <v>458</v>
      </c>
      <c r="H334" s="139">
        <v>1</v>
      </c>
      <c r="I334" s="139">
        <v>1</v>
      </c>
      <c r="J334" s="139">
        <v>4.0399999999999998E-2</v>
      </c>
      <c r="K334" s="139">
        <v>4.0399999999999998E-2</v>
      </c>
      <c r="L334" s="95" t="s">
        <v>459</v>
      </c>
      <c r="M334" s="139">
        <v>2</v>
      </c>
      <c r="N334" s="139">
        <v>8.7899999999999991</v>
      </c>
      <c r="O334" s="209">
        <v>49.51</v>
      </c>
      <c r="P334" s="139">
        <v>155.85</v>
      </c>
      <c r="Q334" s="139">
        <v>35.01</v>
      </c>
      <c r="R334" s="139">
        <v>49.51</v>
      </c>
      <c r="S334" s="179">
        <f t="shared" si="10"/>
        <v>49.504950495049506</v>
      </c>
      <c r="T334" s="179">
        <f t="shared" si="11"/>
        <v>5.0495049504917233E-3</v>
      </c>
      <c r="U334" s="179"/>
      <c r="V334" s="150" t="s">
        <v>460</v>
      </c>
      <c r="W334" s="139">
        <v>3</v>
      </c>
      <c r="X334" s="139">
        <v>4</v>
      </c>
    </row>
    <row r="335" spans="2:24" x14ac:dyDescent="0.3">
      <c r="B335" s="139">
        <v>332</v>
      </c>
      <c r="C335" s="139">
        <v>679</v>
      </c>
      <c r="D335" s="139" t="s">
        <v>1102</v>
      </c>
      <c r="E335" s="151" t="s">
        <v>283</v>
      </c>
      <c r="F335" s="196" t="s">
        <v>1103</v>
      </c>
      <c r="G335" s="95" t="s">
        <v>458</v>
      </c>
      <c r="H335" s="139">
        <v>1</v>
      </c>
      <c r="I335" s="139">
        <v>1</v>
      </c>
      <c r="J335" s="139">
        <v>4.0399999999999998E-2</v>
      </c>
      <c r="K335" s="139">
        <v>4.0399999999999998E-2</v>
      </c>
      <c r="L335" s="95" t="s">
        <v>459</v>
      </c>
      <c r="M335" s="139">
        <v>2</v>
      </c>
      <c r="N335" s="139">
        <v>8.7899999999999991</v>
      </c>
      <c r="O335" s="209">
        <v>49.51</v>
      </c>
      <c r="P335" s="139">
        <v>155.85</v>
      </c>
      <c r="Q335" s="139">
        <v>35.01</v>
      </c>
      <c r="R335" s="139">
        <v>49.51</v>
      </c>
      <c r="S335" s="179">
        <f t="shared" si="10"/>
        <v>49.504950495049506</v>
      </c>
      <c r="T335" s="179">
        <f t="shared" si="11"/>
        <v>5.0495049504917233E-3</v>
      </c>
      <c r="U335" s="179"/>
      <c r="V335" s="150" t="s">
        <v>460</v>
      </c>
      <c r="W335" s="139">
        <v>4</v>
      </c>
      <c r="X335" s="139">
        <v>6</v>
      </c>
    </row>
    <row r="336" spans="2:24" x14ac:dyDescent="0.3">
      <c r="B336" s="139">
        <v>333</v>
      </c>
      <c r="C336" s="139">
        <v>680</v>
      </c>
      <c r="D336" s="139" t="s">
        <v>1104</v>
      </c>
      <c r="E336" s="151" t="s">
        <v>283</v>
      </c>
      <c r="F336" s="196" t="s">
        <v>1105</v>
      </c>
      <c r="G336" s="95" t="s">
        <v>458</v>
      </c>
      <c r="H336" s="139">
        <v>3</v>
      </c>
      <c r="I336" s="139">
        <v>1</v>
      </c>
      <c r="J336" s="139">
        <v>5.2600000000000001E-2</v>
      </c>
      <c r="K336" s="139">
        <v>5.2499999999999998E-2</v>
      </c>
      <c r="L336" s="95" t="s">
        <v>459</v>
      </c>
      <c r="M336" s="139">
        <v>6</v>
      </c>
      <c r="N336" s="139">
        <v>49.78</v>
      </c>
      <c r="O336" s="209">
        <v>114.21</v>
      </c>
      <c r="P336" s="139">
        <v>225.38</v>
      </c>
      <c r="Q336" s="139">
        <v>46.63</v>
      </c>
      <c r="R336" s="139">
        <v>114.21</v>
      </c>
      <c r="S336" s="179">
        <f t="shared" si="10"/>
        <v>114.28571428571429</v>
      </c>
      <c r="T336" s="179">
        <f t="shared" si="11"/>
        <v>7.5714285714298057E-2</v>
      </c>
      <c r="U336" s="179"/>
      <c r="V336" s="150" t="s">
        <v>460</v>
      </c>
      <c r="W336" s="139">
        <v>5</v>
      </c>
      <c r="X336" s="139">
        <v>8</v>
      </c>
    </row>
    <row r="337" spans="2:24" x14ac:dyDescent="0.3">
      <c r="B337" s="139">
        <v>334</v>
      </c>
      <c r="C337" s="139">
        <v>681</v>
      </c>
      <c r="D337" s="139" t="s">
        <v>1106</v>
      </c>
      <c r="E337" s="151" t="s">
        <v>283</v>
      </c>
      <c r="F337" s="196" t="s">
        <v>1107</v>
      </c>
      <c r="G337" s="95" t="s">
        <v>458</v>
      </c>
      <c r="H337" s="139">
        <v>31</v>
      </c>
      <c r="I337" s="139">
        <v>4</v>
      </c>
      <c r="J337" s="139">
        <v>0.77580000000000005</v>
      </c>
      <c r="K337" s="139">
        <v>0.73519999999999996</v>
      </c>
      <c r="L337" s="95" t="s">
        <v>459</v>
      </c>
      <c r="M337" s="139">
        <v>12</v>
      </c>
      <c r="N337" s="139">
        <v>8.06</v>
      </c>
      <c r="O337" s="209">
        <v>16.23</v>
      </c>
      <c r="P337" s="139">
        <v>26.7</v>
      </c>
      <c r="Q337" s="139">
        <v>5.75</v>
      </c>
      <c r="R337" s="139">
        <v>16.32</v>
      </c>
      <c r="S337" s="179">
        <f t="shared" si="10"/>
        <v>16.32208922742111</v>
      </c>
      <c r="T337" s="179">
        <f t="shared" si="11"/>
        <v>2.0892274211092854E-3</v>
      </c>
      <c r="U337" s="179"/>
      <c r="V337" s="150" t="s">
        <v>460</v>
      </c>
      <c r="W337" s="139">
        <v>3.7</v>
      </c>
      <c r="X337" s="139">
        <v>8.5</v>
      </c>
    </row>
    <row r="338" spans="2:24" x14ac:dyDescent="0.3">
      <c r="B338" s="139">
        <v>335</v>
      </c>
      <c r="C338" s="139">
        <v>684</v>
      </c>
      <c r="D338" s="139" t="s">
        <v>1108</v>
      </c>
      <c r="E338" s="151" t="s">
        <v>283</v>
      </c>
      <c r="F338" s="196" t="s">
        <v>1109</v>
      </c>
      <c r="G338" s="95" t="s">
        <v>458</v>
      </c>
      <c r="H338" s="139">
        <v>7</v>
      </c>
      <c r="I338" s="139">
        <v>1</v>
      </c>
      <c r="J338" s="139">
        <v>0.24249999999999999</v>
      </c>
      <c r="K338" s="139">
        <v>0.24229999999999999</v>
      </c>
      <c r="L338" s="95" t="s">
        <v>459</v>
      </c>
      <c r="M338" s="139">
        <v>2</v>
      </c>
      <c r="N338" s="139">
        <v>1.46</v>
      </c>
      <c r="O338" s="209">
        <v>8.25</v>
      </c>
      <c r="P338" s="139">
        <v>25.98</v>
      </c>
      <c r="Q338" s="139">
        <v>5.84</v>
      </c>
      <c r="R338" s="139">
        <v>8.25</v>
      </c>
      <c r="S338" s="179">
        <f t="shared" si="10"/>
        <v>8.2542302930251754</v>
      </c>
      <c r="T338" s="179">
        <f t="shared" si="11"/>
        <v>4.2302930251754134E-3</v>
      </c>
      <c r="U338" s="179"/>
      <c r="V338" s="150" t="s">
        <v>460</v>
      </c>
      <c r="W338" s="139">
        <v>4</v>
      </c>
      <c r="X338" s="139">
        <v>6</v>
      </c>
    </row>
    <row r="339" spans="2:24" x14ac:dyDescent="0.3">
      <c r="B339" s="139">
        <v>336</v>
      </c>
      <c r="C339" s="139">
        <v>685</v>
      </c>
      <c r="D339" s="139" t="s">
        <v>1110</v>
      </c>
      <c r="E339" s="151" t="s">
        <v>283</v>
      </c>
      <c r="F339" s="196" t="s">
        <v>1111</v>
      </c>
      <c r="G339" s="95" t="s">
        <v>458</v>
      </c>
      <c r="H339" s="139">
        <v>1</v>
      </c>
      <c r="I339" s="139">
        <v>1</v>
      </c>
      <c r="J339" s="139">
        <v>4.9299999999999997E-2</v>
      </c>
      <c r="K339" s="139">
        <v>3.5799999999999998E-2</v>
      </c>
      <c r="L339" s="95" t="s">
        <v>459</v>
      </c>
      <c r="M339" s="139">
        <v>0</v>
      </c>
      <c r="N339" s="139">
        <v>0.03</v>
      </c>
      <c r="O339" s="209">
        <v>7.51</v>
      </c>
      <c r="P339" s="139">
        <v>28.82</v>
      </c>
      <c r="Q339" s="139">
        <v>10.62</v>
      </c>
      <c r="R339" s="150">
        <v>0</v>
      </c>
      <c r="S339" s="179">
        <f t="shared" si="10"/>
        <v>0</v>
      </c>
      <c r="T339" s="179">
        <f t="shared" si="11"/>
        <v>0</v>
      </c>
      <c r="U339" s="179"/>
      <c r="V339" s="150" t="s">
        <v>460</v>
      </c>
      <c r="W339" s="150" t="s">
        <v>460</v>
      </c>
      <c r="X339" s="150" t="s">
        <v>460</v>
      </c>
    </row>
    <row r="340" spans="2:24" x14ac:dyDescent="0.3">
      <c r="B340" s="139">
        <v>337</v>
      </c>
      <c r="C340" s="139">
        <v>686</v>
      </c>
      <c r="D340" s="139" t="s">
        <v>1112</v>
      </c>
      <c r="E340" s="151" t="s">
        <v>283</v>
      </c>
      <c r="F340" s="196" t="s">
        <v>1113</v>
      </c>
      <c r="G340" s="95" t="s">
        <v>458</v>
      </c>
      <c r="H340" s="139">
        <v>2</v>
      </c>
      <c r="I340" s="139">
        <v>1</v>
      </c>
      <c r="J340" s="139">
        <v>5.2600000000000001E-2</v>
      </c>
      <c r="K340" s="139">
        <v>5.2600000000000001E-2</v>
      </c>
      <c r="L340" s="95" t="s">
        <v>459</v>
      </c>
      <c r="M340" s="139">
        <v>1</v>
      </c>
      <c r="N340" s="139">
        <v>0.95</v>
      </c>
      <c r="O340" s="209">
        <v>19.03</v>
      </c>
      <c r="P340" s="139">
        <v>90.28</v>
      </c>
      <c r="Q340" s="139">
        <v>19.03</v>
      </c>
      <c r="R340" s="139">
        <v>19.03</v>
      </c>
      <c r="S340" s="179">
        <f t="shared" si="10"/>
        <v>19.011406844106464</v>
      </c>
      <c r="T340" s="179">
        <f t="shared" si="11"/>
        <v>1.8593155893537272E-2</v>
      </c>
      <c r="U340" s="179"/>
      <c r="V340" s="150" t="s">
        <v>460</v>
      </c>
      <c r="W340" s="139">
        <v>8.5</v>
      </c>
      <c r="X340" s="139">
        <v>8.5</v>
      </c>
    </row>
    <row r="341" spans="2:24" x14ac:dyDescent="0.3">
      <c r="B341" s="139">
        <v>338</v>
      </c>
      <c r="C341" s="139">
        <v>687</v>
      </c>
      <c r="D341" s="139" t="s">
        <v>1114</v>
      </c>
      <c r="E341" s="151" t="s">
        <v>283</v>
      </c>
      <c r="F341" s="196" t="s">
        <v>1115</v>
      </c>
      <c r="G341" s="95" t="s">
        <v>458</v>
      </c>
      <c r="H341" s="139">
        <v>2</v>
      </c>
      <c r="I341" s="139">
        <v>1</v>
      </c>
      <c r="J341" s="139">
        <v>9.8500000000000004E-2</v>
      </c>
      <c r="K341" s="139">
        <v>7.1599999999999997E-2</v>
      </c>
      <c r="L341" s="95" t="s">
        <v>459</v>
      </c>
      <c r="M341" s="139">
        <v>2</v>
      </c>
      <c r="N341" s="139">
        <v>4.96</v>
      </c>
      <c r="O341" s="209">
        <v>27.93</v>
      </c>
      <c r="P341" s="139">
        <v>87.9</v>
      </c>
      <c r="Q341" s="139">
        <v>19.75</v>
      </c>
      <c r="R341" s="139">
        <v>27.93</v>
      </c>
      <c r="S341" s="179">
        <f t="shared" si="10"/>
        <v>27.932960893854748</v>
      </c>
      <c r="T341" s="179">
        <f t="shared" si="11"/>
        <v>2.9608938547482921E-3</v>
      </c>
      <c r="U341" s="179"/>
      <c r="V341" s="150" t="s">
        <v>460</v>
      </c>
      <c r="W341" s="139">
        <v>3</v>
      </c>
      <c r="X341" s="139">
        <v>4</v>
      </c>
    </row>
    <row r="342" spans="2:24" x14ac:dyDescent="0.3">
      <c r="B342" s="139">
        <v>339</v>
      </c>
      <c r="C342" s="139">
        <v>688</v>
      </c>
      <c r="D342" s="139" t="s">
        <v>1116</v>
      </c>
      <c r="E342" s="151" t="s">
        <v>283</v>
      </c>
      <c r="F342" s="196" t="s">
        <v>1117</v>
      </c>
      <c r="G342" s="95" t="s">
        <v>458</v>
      </c>
      <c r="H342" s="139">
        <v>19</v>
      </c>
      <c r="I342" s="139">
        <v>1</v>
      </c>
      <c r="J342" s="139">
        <v>0.33289999999999997</v>
      </c>
      <c r="K342" s="139">
        <v>0.33289999999999997</v>
      </c>
      <c r="L342" s="95" t="s">
        <v>459</v>
      </c>
      <c r="M342" s="139">
        <v>7</v>
      </c>
      <c r="N342" s="139">
        <v>9.8699999999999992</v>
      </c>
      <c r="O342" s="209">
        <v>21.03</v>
      </c>
      <c r="P342" s="139">
        <v>39.51</v>
      </c>
      <c r="Q342" s="139">
        <v>7.95</v>
      </c>
      <c r="R342" s="139">
        <v>21.03</v>
      </c>
      <c r="S342" s="179">
        <f t="shared" si="10"/>
        <v>21.027335536197057</v>
      </c>
      <c r="T342" s="179">
        <f t="shared" si="11"/>
        <v>2.6644638029438283E-3</v>
      </c>
      <c r="U342" s="179"/>
      <c r="V342" s="150" t="s">
        <v>460</v>
      </c>
      <c r="W342" s="139">
        <v>3.1</v>
      </c>
      <c r="X342" s="139">
        <v>6</v>
      </c>
    </row>
    <row r="343" spans="2:24" x14ac:dyDescent="0.3">
      <c r="B343" s="139">
        <v>340</v>
      </c>
      <c r="C343" s="139">
        <v>689</v>
      </c>
      <c r="D343" s="139" t="s">
        <v>1118</v>
      </c>
      <c r="E343" s="151" t="s">
        <v>283</v>
      </c>
      <c r="F343" s="196" t="s">
        <v>1119</v>
      </c>
      <c r="G343" s="95" t="s">
        <v>458</v>
      </c>
      <c r="H343" s="139">
        <v>155</v>
      </c>
      <c r="I343" s="139">
        <v>7</v>
      </c>
      <c r="J343" s="139">
        <v>3.2673000000000001</v>
      </c>
      <c r="K343" s="139">
        <v>3.2212000000000001</v>
      </c>
      <c r="L343" s="95" t="s">
        <v>459</v>
      </c>
      <c r="M343" s="139">
        <v>1</v>
      </c>
      <c r="N343" s="210">
        <v>3.0000000000000001E-3</v>
      </c>
      <c r="O343" s="209">
        <v>1.73</v>
      </c>
      <c r="P343" s="139">
        <v>6.93</v>
      </c>
      <c r="Q343" s="139">
        <v>2.6</v>
      </c>
      <c r="R343" s="139">
        <v>0.31</v>
      </c>
      <c r="S343" s="179">
        <f t="shared" si="10"/>
        <v>0.3104433130510369</v>
      </c>
      <c r="T343" s="179">
        <f t="shared" si="11"/>
        <v>4.4331305103689767E-4</v>
      </c>
      <c r="U343" s="179"/>
      <c r="V343" s="150" t="s">
        <v>460</v>
      </c>
      <c r="W343" s="139">
        <v>2</v>
      </c>
      <c r="X343" s="139">
        <v>2</v>
      </c>
    </row>
    <row r="344" spans="2:24" x14ac:dyDescent="0.3">
      <c r="B344" s="139">
        <v>341</v>
      </c>
      <c r="C344" s="139">
        <v>692</v>
      </c>
      <c r="D344" s="139" t="s">
        <v>1120</v>
      </c>
      <c r="E344" s="151" t="s">
        <v>283</v>
      </c>
      <c r="F344" s="196" t="s">
        <v>1121</v>
      </c>
      <c r="G344" s="95" t="s">
        <v>458</v>
      </c>
      <c r="H344" s="139">
        <v>17</v>
      </c>
      <c r="I344" s="139">
        <v>3</v>
      </c>
      <c r="J344" s="139">
        <v>0.44390000000000002</v>
      </c>
      <c r="K344" s="139">
        <v>0.45229999999999998</v>
      </c>
      <c r="L344" s="95" t="s">
        <v>459</v>
      </c>
      <c r="M344" s="139">
        <v>0</v>
      </c>
      <c r="N344" s="210">
        <v>3.0000000000000001E-3</v>
      </c>
      <c r="O344" s="209">
        <v>0.67</v>
      </c>
      <c r="P344" s="139">
        <v>2.59</v>
      </c>
      <c r="Q344" s="139">
        <v>0.95</v>
      </c>
      <c r="R344" s="150">
        <v>0</v>
      </c>
      <c r="S344" s="179">
        <f t="shared" si="10"/>
        <v>0</v>
      </c>
      <c r="T344" s="179">
        <f t="shared" si="11"/>
        <v>0</v>
      </c>
      <c r="U344" s="179"/>
      <c r="V344" s="150" t="s">
        <v>460</v>
      </c>
      <c r="W344" s="150" t="s">
        <v>460</v>
      </c>
      <c r="X344" s="150" t="s">
        <v>460</v>
      </c>
    </row>
    <row r="345" spans="2:24" x14ac:dyDescent="0.3">
      <c r="B345" s="139">
        <v>342</v>
      </c>
      <c r="C345" s="139">
        <v>693</v>
      </c>
      <c r="D345" s="139" t="s">
        <v>1122</v>
      </c>
      <c r="E345" s="151" t="s">
        <v>283</v>
      </c>
      <c r="F345" s="196" t="s">
        <v>1123</v>
      </c>
      <c r="G345" s="95" t="s">
        <v>458</v>
      </c>
      <c r="H345" s="139">
        <v>1</v>
      </c>
      <c r="I345" s="139">
        <v>1</v>
      </c>
      <c r="J345" s="139">
        <v>1.7500000000000002E-2</v>
      </c>
      <c r="K345" s="139">
        <v>1.7500000000000002E-2</v>
      </c>
      <c r="L345" s="95" t="s">
        <v>459</v>
      </c>
      <c r="M345" s="139">
        <v>0</v>
      </c>
      <c r="N345" s="210">
        <v>6.0000000000000001E-3</v>
      </c>
      <c r="O345" s="209">
        <v>1.63</v>
      </c>
      <c r="P345" s="139">
        <v>6.27</v>
      </c>
      <c r="Q345" s="139">
        <v>2.31</v>
      </c>
      <c r="R345" s="150">
        <v>0</v>
      </c>
      <c r="S345" s="179">
        <f t="shared" si="10"/>
        <v>0</v>
      </c>
      <c r="T345" s="179">
        <f t="shared" si="11"/>
        <v>0</v>
      </c>
      <c r="U345" s="179"/>
      <c r="V345" s="150" t="s">
        <v>460</v>
      </c>
      <c r="W345" s="150" t="s">
        <v>460</v>
      </c>
      <c r="X345" s="150" t="s">
        <v>460</v>
      </c>
    </row>
    <row r="346" spans="2:24" x14ac:dyDescent="0.3">
      <c r="B346" s="139">
        <v>343</v>
      </c>
      <c r="C346" s="139">
        <v>694</v>
      </c>
      <c r="D346" s="139" t="s">
        <v>1124</v>
      </c>
      <c r="E346" s="151" t="s">
        <v>283</v>
      </c>
      <c r="F346" s="196" t="s">
        <v>1125</v>
      </c>
      <c r="G346" s="95" t="s">
        <v>458</v>
      </c>
      <c r="H346" s="139">
        <v>4</v>
      </c>
      <c r="I346" s="139">
        <v>2</v>
      </c>
      <c r="J346" s="139">
        <v>7.0099999999999996E-2</v>
      </c>
      <c r="K346" s="139">
        <v>7.0099999999999996E-2</v>
      </c>
      <c r="L346" s="95" t="s">
        <v>459</v>
      </c>
      <c r="M346" s="139">
        <v>0</v>
      </c>
      <c r="N346" s="210">
        <v>5.0000000000000001E-3</v>
      </c>
      <c r="O346" s="209">
        <v>1.39</v>
      </c>
      <c r="P346" s="139">
        <v>5.35</v>
      </c>
      <c r="Q346" s="139">
        <v>1.97</v>
      </c>
      <c r="R346" s="150">
        <v>0</v>
      </c>
      <c r="S346" s="179">
        <f t="shared" si="10"/>
        <v>0</v>
      </c>
      <c r="T346" s="179">
        <f t="shared" si="11"/>
        <v>0</v>
      </c>
      <c r="U346" s="179"/>
      <c r="V346" s="150" t="s">
        <v>460</v>
      </c>
      <c r="W346" s="150" t="s">
        <v>460</v>
      </c>
      <c r="X346" s="150" t="s">
        <v>460</v>
      </c>
    </row>
    <row r="347" spans="2:24" x14ac:dyDescent="0.3">
      <c r="B347" s="139">
        <v>344</v>
      </c>
      <c r="C347" s="139">
        <v>695</v>
      </c>
      <c r="D347" s="139" t="s">
        <v>1126</v>
      </c>
      <c r="E347" s="151" t="s">
        <v>283</v>
      </c>
      <c r="F347" s="196" t="s">
        <v>1127</v>
      </c>
      <c r="G347" s="95" t="s">
        <v>458</v>
      </c>
      <c r="H347" s="139">
        <v>3</v>
      </c>
      <c r="I347" s="139">
        <v>2</v>
      </c>
      <c r="J347" s="139">
        <v>5.2600000000000001E-2</v>
      </c>
      <c r="K347" s="139">
        <v>5.2600000000000001E-2</v>
      </c>
      <c r="L347" s="95" t="s">
        <v>459</v>
      </c>
      <c r="M347" s="139">
        <v>0</v>
      </c>
      <c r="N347" s="210">
        <v>6.0000000000000001E-3</v>
      </c>
      <c r="O347" s="209">
        <v>1.47</v>
      </c>
      <c r="P347" s="139">
        <v>5.63</v>
      </c>
      <c r="Q347" s="139">
        <v>2.0699999999999998</v>
      </c>
      <c r="R347" s="150">
        <v>0</v>
      </c>
      <c r="S347" s="179">
        <f t="shared" si="10"/>
        <v>0</v>
      </c>
      <c r="T347" s="179">
        <f t="shared" si="11"/>
        <v>0</v>
      </c>
      <c r="U347" s="179"/>
      <c r="V347" s="150" t="s">
        <v>460</v>
      </c>
      <c r="W347" s="150" t="s">
        <v>460</v>
      </c>
      <c r="X347" s="150" t="s">
        <v>460</v>
      </c>
    </row>
    <row r="348" spans="2:24" x14ac:dyDescent="0.3">
      <c r="B348" s="139">
        <v>345</v>
      </c>
      <c r="C348" s="139">
        <v>696</v>
      </c>
      <c r="D348" s="139" t="s">
        <v>1128</v>
      </c>
      <c r="E348" s="151" t="s">
        <v>283</v>
      </c>
      <c r="F348" s="196" t="s">
        <v>1129</v>
      </c>
      <c r="G348" s="95" t="s">
        <v>458</v>
      </c>
      <c r="H348" s="139">
        <v>4</v>
      </c>
      <c r="I348" s="139">
        <v>2</v>
      </c>
      <c r="J348" s="139">
        <v>7.0099999999999996E-2</v>
      </c>
      <c r="K348" s="139">
        <v>7.0099999999999996E-2</v>
      </c>
      <c r="L348" s="95" t="s">
        <v>459</v>
      </c>
      <c r="M348" s="139">
        <v>0</v>
      </c>
      <c r="N348" s="210">
        <v>5.0000000000000001E-3</v>
      </c>
      <c r="O348" s="209">
        <v>1.39</v>
      </c>
      <c r="P348" s="139">
        <v>5.35</v>
      </c>
      <c r="Q348" s="139">
        <v>1.97</v>
      </c>
      <c r="R348" s="150">
        <v>0</v>
      </c>
      <c r="S348" s="179">
        <f t="shared" si="10"/>
        <v>0</v>
      </c>
      <c r="T348" s="179">
        <f t="shared" si="11"/>
        <v>0</v>
      </c>
      <c r="U348" s="179"/>
      <c r="V348" s="150" t="s">
        <v>460</v>
      </c>
      <c r="W348" s="150" t="s">
        <v>460</v>
      </c>
      <c r="X348" s="150" t="s">
        <v>460</v>
      </c>
    </row>
    <row r="349" spans="2:24" x14ac:dyDescent="0.3">
      <c r="B349" s="139">
        <v>346</v>
      </c>
      <c r="C349" s="139">
        <v>697</v>
      </c>
      <c r="D349" s="139" t="s">
        <v>1130</v>
      </c>
      <c r="E349" s="151" t="s">
        <v>283</v>
      </c>
      <c r="F349" s="196" t="s">
        <v>1131</v>
      </c>
      <c r="G349" s="95" t="s">
        <v>458</v>
      </c>
      <c r="H349" s="139">
        <v>13</v>
      </c>
      <c r="I349" s="139">
        <v>2</v>
      </c>
      <c r="J349" s="139">
        <v>0.2278</v>
      </c>
      <c r="K349" s="139">
        <v>0.2278</v>
      </c>
      <c r="L349" s="95" t="s">
        <v>459</v>
      </c>
      <c r="M349" s="139">
        <v>0</v>
      </c>
      <c r="N349" s="210">
        <v>4.0000000000000001E-3</v>
      </c>
      <c r="O349" s="209">
        <v>0.97</v>
      </c>
      <c r="P349" s="139">
        <v>3.72</v>
      </c>
      <c r="Q349" s="139">
        <v>1.37</v>
      </c>
      <c r="R349" s="150">
        <v>0</v>
      </c>
      <c r="S349" s="179">
        <f t="shared" si="10"/>
        <v>0</v>
      </c>
      <c r="T349" s="179">
        <f t="shared" si="11"/>
        <v>0</v>
      </c>
      <c r="U349" s="179"/>
      <c r="V349" s="150" t="s">
        <v>460</v>
      </c>
      <c r="W349" s="150" t="s">
        <v>460</v>
      </c>
      <c r="X349" s="150" t="s">
        <v>460</v>
      </c>
    </row>
    <row r="350" spans="2:24" x14ac:dyDescent="0.3">
      <c r="B350" s="139">
        <v>347</v>
      </c>
      <c r="C350" s="139">
        <v>698</v>
      </c>
      <c r="D350" s="139" t="s">
        <v>1132</v>
      </c>
      <c r="E350" s="151" t="s">
        <v>283</v>
      </c>
      <c r="F350" s="196" t="s">
        <v>1133</v>
      </c>
      <c r="G350" s="95" t="s">
        <v>458</v>
      </c>
      <c r="H350" s="139">
        <v>1</v>
      </c>
      <c r="I350" s="139">
        <v>1</v>
      </c>
      <c r="J350" s="139">
        <v>1.7500000000000002E-2</v>
      </c>
      <c r="K350" s="139">
        <v>1.7500000000000002E-2</v>
      </c>
      <c r="L350" s="95" t="s">
        <v>459</v>
      </c>
      <c r="M350" s="139">
        <v>0</v>
      </c>
      <c r="N350" s="210">
        <v>6.0000000000000001E-3</v>
      </c>
      <c r="O350" s="209">
        <v>1.63</v>
      </c>
      <c r="P350" s="139">
        <v>6.27</v>
      </c>
      <c r="Q350" s="139">
        <v>2.31</v>
      </c>
      <c r="R350" s="150">
        <v>0</v>
      </c>
      <c r="S350" s="179">
        <f t="shared" si="10"/>
        <v>0</v>
      </c>
      <c r="T350" s="179">
        <f t="shared" si="11"/>
        <v>0</v>
      </c>
      <c r="U350" s="179"/>
      <c r="V350" s="150" t="s">
        <v>460</v>
      </c>
      <c r="W350" s="150" t="s">
        <v>460</v>
      </c>
      <c r="X350" s="150" t="s">
        <v>460</v>
      </c>
    </row>
    <row r="351" spans="2:24" x14ac:dyDescent="0.3">
      <c r="B351" s="139">
        <v>348</v>
      </c>
      <c r="C351" s="139">
        <v>699</v>
      </c>
      <c r="D351" s="139" t="s">
        <v>1134</v>
      </c>
      <c r="E351" s="151" t="s">
        <v>283</v>
      </c>
      <c r="F351" s="196" t="s">
        <v>1135</v>
      </c>
      <c r="G351" s="95" t="s">
        <v>458</v>
      </c>
      <c r="H351" s="139">
        <v>1</v>
      </c>
      <c r="I351" s="139">
        <v>1</v>
      </c>
      <c r="J351" s="139">
        <v>1.7500000000000002E-2</v>
      </c>
      <c r="K351" s="139">
        <v>1.7500000000000002E-2</v>
      </c>
      <c r="L351" s="95" t="s">
        <v>459</v>
      </c>
      <c r="M351" s="139">
        <v>0</v>
      </c>
      <c r="N351" s="210">
        <v>6.0000000000000001E-3</v>
      </c>
      <c r="O351" s="209">
        <v>1.63</v>
      </c>
      <c r="P351" s="139">
        <v>6.27</v>
      </c>
      <c r="Q351" s="139">
        <v>2.31</v>
      </c>
      <c r="R351" s="150">
        <v>0</v>
      </c>
      <c r="S351" s="179">
        <f t="shared" si="10"/>
        <v>0</v>
      </c>
      <c r="T351" s="179">
        <f t="shared" si="11"/>
        <v>0</v>
      </c>
      <c r="U351" s="179"/>
      <c r="V351" s="150" t="s">
        <v>460</v>
      </c>
      <c r="W351" s="150" t="s">
        <v>460</v>
      </c>
      <c r="X351" s="150" t="s">
        <v>460</v>
      </c>
    </row>
    <row r="352" spans="2:24" x14ac:dyDescent="0.3">
      <c r="B352" s="139">
        <v>349</v>
      </c>
      <c r="C352" s="139">
        <v>700</v>
      </c>
      <c r="D352" s="139" t="s">
        <v>1136</v>
      </c>
      <c r="E352" s="151" t="s">
        <v>283</v>
      </c>
      <c r="F352" s="196" t="s">
        <v>1137</v>
      </c>
      <c r="G352" s="95" t="s">
        <v>458</v>
      </c>
      <c r="H352" s="139">
        <v>2</v>
      </c>
      <c r="I352" s="139">
        <v>1</v>
      </c>
      <c r="J352" s="139">
        <v>3.5000000000000003E-2</v>
      </c>
      <c r="K352" s="139">
        <v>3.5000000000000003E-2</v>
      </c>
      <c r="L352" s="95" t="s">
        <v>459</v>
      </c>
      <c r="M352" s="139">
        <v>0</v>
      </c>
      <c r="N352" s="210">
        <v>6.0000000000000001E-3</v>
      </c>
      <c r="O352" s="209">
        <v>1.54</v>
      </c>
      <c r="P352" s="139">
        <v>5.93</v>
      </c>
      <c r="Q352" s="139">
        <v>2.1800000000000002</v>
      </c>
      <c r="R352" s="150">
        <v>0</v>
      </c>
      <c r="S352" s="179">
        <f t="shared" si="10"/>
        <v>0</v>
      </c>
      <c r="T352" s="179">
        <f t="shared" si="11"/>
        <v>0</v>
      </c>
      <c r="U352" s="179"/>
      <c r="V352" s="150" t="s">
        <v>460</v>
      </c>
      <c r="W352" s="150" t="s">
        <v>460</v>
      </c>
      <c r="X352" s="150" t="s">
        <v>460</v>
      </c>
    </row>
    <row r="353" spans="2:24" x14ac:dyDescent="0.3">
      <c r="B353" s="139">
        <v>350</v>
      </c>
      <c r="C353" s="139">
        <v>701</v>
      </c>
      <c r="D353" s="139" t="s">
        <v>1138</v>
      </c>
      <c r="E353" s="151" t="s">
        <v>283</v>
      </c>
      <c r="F353" s="196" t="s">
        <v>1139</v>
      </c>
      <c r="G353" s="95" t="s">
        <v>458</v>
      </c>
      <c r="H353" s="139">
        <v>15</v>
      </c>
      <c r="I353" s="139">
        <v>2</v>
      </c>
      <c r="J353" s="139">
        <v>0.26279999999999998</v>
      </c>
      <c r="K353" s="139">
        <v>0.26279999999999998</v>
      </c>
      <c r="L353" s="95" t="s">
        <v>459</v>
      </c>
      <c r="M353" s="139">
        <v>0</v>
      </c>
      <c r="N353" s="210">
        <v>4.0000000000000001E-3</v>
      </c>
      <c r="O353" s="209">
        <v>0.91</v>
      </c>
      <c r="P353" s="139">
        <v>3.48</v>
      </c>
      <c r="Q353" s="139">
        <v>1.28</v>
      </c>
      <c r="R353" s="150">
        <v>0</v>
      </c>
      <c r="S353" s="179">
        <f t="shared" si="10"/>
        <v>0</v>
      </c>
      <c r="T353" s="179">
        <f t="shared" si="11"/>
        <v>0</v>
      </c>
      <c r="U353" s="179"/>
      <c r="V353" s="150" t="s">
        <v>460</v>
      </c>
      <c r="W353" s="150" t="s">
        <v>460</v>
      </c>
      <c r="X353" s="150" t="s">
        <v>460</v>
      </c>
    </row>
    <row r="354" spans="2:24" x14ac:dyDescent="0.3">
      <c r="B354" s="139">
        <v>351</v>
      </c>
      <c r="C354" s="139">
        <v>702</v>
      </c>
      <c r="D354" s="139" t="s">
        <v>1140</v>
      </c>
      <c r="E354" s="151" t="s">
        <v>283</v>
      </c>
      <c r="F354" s="196" t="s">
        <v>1141</v>
      </c>
      <c r="G354" s="95" t="s">
        <v>458</v>
      </c>
      <c r="H354" s="139">
        <v>10</v>
      </c>
      <c r="I354" s="139">
        <v>4</v>
      </c>
      <c r="J354" s="139">
        <v>0.2387</v>
      </c>
      <c r="K354" s="139">
        <v>0.21179999999999999</v>
      </c>
      <c r="L354" s="95" t="s">
        <v>459</v>
      </c>
      <c r="M354" s="139">
        <v>0</v>
      </c>
      <c r="N354" s="210">
        <v>4.0000000000000001E-3</v>
      </c>
      <c r="O354" s="209">
        <v>1</v>
      </c>
      <c r="P354" s="139">
        <v>3.84</v>
      </c>
      <c r="Q354" s="139">
        <v>1.41</v>
      </c>
      <c r="R354" s="150">
        <v>0</v>
      </c>
      <c r="S354" s="179">
        <f t="shared" si="10"/>
        <v>0</v>
      </c>
      <c r="T354" s="179">
        <f t="shared" si="11"/>
        <v>0</v>
      </c>
      <c r="U354" s="179"/>
      <c r="V354" s="150" t="s">
        <v>460</v>
      </c>
      <c r="W354" s="150" t="s">
        <v>460</v>
      </c>
      <c r="X354" s="150" t="s">
        <v>460</v>
      </c>
    </row>
    <row r="355" spans="2:24" x14ac:dyDescent="0.3">
      <c r="B355" s="139">
        <v>352</v>
      </c>
      <c r="C355" s="139">
        <v>703</v>
      </c>
      <c r="D355" s="139" t="s">
        <v>1142</v>
      </c>
      <c r="E355" s="151" t="s">
        <v>283</v>
      </c>
      <c r="F355" s="196" t="s">
        <v>1143</v>
      </c>
      <c r="G355" s="95" t="s">
        <v>458</v>
      </c>
      <c r="H355" s="139">
        <v>14</v>
      </c>
      <c r="I355" s="139">
        <v>1</v>
      </c>
      <c r="J355" s="139">
        <v>0.38979999999999998</v>
      </c>
      <c r="K355" s="139">
        <v>0.38940000000000002</v>
      </c>
      <c r="L355" s="95" t="s">
        <v>459</v>
      </c>
      <c r="M355" s="139">
        <v>0</v>
      </c>
      <c r="N355" s="210">
        <v>3.0000000000000001E-3</v>
      </c>
      <c r="O355" s="209">
        <v>0.74</v>
      </c>
      <c r="P355" s="139">
        <v>2.83</v>
      </c>
      <c r="Q355" s="139">
        <v>1.04</v>
      </c>
      <c r="R355" s="150">
        <v>0</v>
      </c>
      <c r="S355" s="179">
        <f t="shared" si="10"/>
        <v>0</v>
      </c>
      <c r="T355" s="179">
        <f t="shared" si="11"/>
        <v>0</v>
      </c>
      <c r="U355" s="179"/>
      <c r="V355" s="150" t="s">
        <v>460</v>
      </c>
      <c r="W355" s="150" t="s">
        <v>460</v>
      </c>
      <c r="X355" s="150" t="s">
        <v>460</v>
      </c>
    </row>
    <row r="356" spans="2:24" x14ac:dyDescent="0.3">
      <c r="B356" s="139">
        <v>353</v>
      </c>
      <c r="C356" s="139">
        <v>704</v>
      </c>
      <c r="D356" s="139" t="s">
        <v>1144</v>
      </c>
      <c r="E356" s="151" t="s">
        <v>283</v>
      </c>
      <c r="F356" s="196" t="s">
        <v>1145</v>
      </c>
      <c r="G356" s="95" t="s">
        <v>458</v>
      </c>
      <c r="H356" s="139">
        <v>1</v>
      </c>
      <c r="I356" s="139">
        <v>1</v>
      </c>
      <c r="J356" s="139">
        <v>1.7500000000000002E-2</v>
      </c>
      <c r="K356" s="139">
        <v>1.7500000000000002E-2</v>
      </c>
      <c r="L356" s="95" t="s">
        <v>459</v>
      </c>
      <c r="M356" s="139">
        <v>0</v>
      </c>
      <c r="N356" s="210">
        <v>6.0000000000000001E-3</v>
      </c>
      <c r="O356" s="209">
        <v>1.63</v>
      </c>
      <c r="P356" s="139">
        <v>6.27</v>
      </c>
      <c r="Q356" s="139">
        <v>2.31</v>
      </c>
      <c r="R356" s="150">
        <v>0</v>
      </c>
      <c r="S356" s="179">
        <f t="shared" si="10"/>
        <v>0</v>
      </c>
      <c r="T356" s="179">
        <f t="shared" si="11"/>
        <v>0</v>
      </c>
      <c r="U356" s="179"/>
      <c r="V356" s="150" t="s">
        <v>460</v>
      </c>
      <c r="W356" s="150" t="s">
        <v>460</v>
      </c>
      <c r="X356" s="150" t="s">
        <v>460</v>
      </c>
    </row>
    <row r="357" spans="2:24" x14ac:dyDescent="0.3">
      <c r="B357" s="139">
        <v>354</v>
      </c>
      <c r="C357" s="139">
        <v>705</v>
      </c>
      <c r="D357" s="139" t="s">
        <v>1146</v>
      </c>
      <c r="E357" s="151" t="s">
        <v>283</v>
      </c>
      <c r="F357" s="196" t="s">
        <v>1147</v>
      </c>
      <c r="G357" s="95" t="s">
        <v>458</v>
      </c>
      <c r="H357" s="139">
        <v>5</v>
      </c>
      <c r="I357" s="139">
        <v>1</v>
      </c>
      <c r="J357" s="139">
        <v>8.7599999999999997E-2</v>
      </c>
      <c r="K357" s="139">
        <v>8.7599999999999997E-2</v>
      </c>
      <c r="L357" s="95" t="s">
        <v>459</v>
      </c>
      <c r="M357" s="139">
        <v>0</v>
      </c>
      <c r="N357" s="210">
        <v>5.0000000000000001E-3</v>
      </c>
      <c r="O357" s="209">
        <v>1.33</v>
      </c>
      <c r="P357" s="139">
        <v>5.0999999999999996</v>
      </c>
      <c r="Q357" s="139">
        <v>1.88</v>
      </c>
      <c r="R357" s="150">
        <v>0</v>
      </c>
      <c r="S357" s="179">
        <f t="shared" si="10"/>
        <v>0</v>
      </c>
      <c r="T357" s="179">
        <f t="shared" si="11"/>
        <v>0</v>
      </c>
      <c r="U357" s="179"/>
      <c r="V357" s="150" t="s">
        <v>460</v>
      </c>
      <c r="W357" s="150" t="s">
        <v>460</v>
      </c>
      <c r="X357" s="150" t="s">
        <v>460</v>
      </c>
    </row>
    <row r="358" spans="2:24" x14ac:dyDescent="0.3">
      <c r="B358" s="139">
        <v>355</v>
      </c>
      <c r="C358" s="139">
        <v>706</v>
      </c>
      <c r="D358" s="139" t="s">
        <v>1148</v>
      </c>
      <c r="E358" s="151" t="s">
        <v>283</v>
      </c>
      <c r="F358" s="196" t="s">
        <v>1149</v>
      </c>
      <c r="G358" s="95" t="s">
        <v>458</v>
      </c>
      <c r="H358" s="139">
        <v>7</v>
      </c>
      <c r="I358" s="139">
        <v>3</v>
      </c>
      <c r="J358" s="139">
        <v>0.1226</v>
      </c>
      <c r="K358" s="139">
        <v>0.1226</v>
      </c>
      <c r="L358" s="95" t="s">
        <v>459</v>
      </c>
      <c r="M358" s="139">
        <v>0</v>
      </c>
      <c r="N358" s="210">
        <v>5.0000000000000001E-3</v>
      </c>
      <c r="O358" s="209">
        <v>1.22</v>
      </c>
      <c r="P358" s="139">
        <v>4.67</v>
      </c>
      <c r="Q358" s="139">
        <v>1.72</v>
      </c>
      <c r="R358" s="150">
        <v>0</v>
      </c>
      <c r="S358" s="179">
        <f t="shared" si="10"/>
        <v>0</v>
      </c>
      <c r="T358" s="179">
        <f t="shared" si="11"/>
        <v>0</v>
      </c>
      <c r="U358" s="179"/>
      <c r="V358" s="150" t="s">
        <v>460</v>
      </c>
      <c r="W358" s="150" t="s">
        <v>460</v>
      </c>
      <c r="X358" s="150" t="s">
        <v>460</v>
      </c>
    </row>
    <row r="359" spans="2:24" x14ac:dyDescent="0.3">
      <c r="B359" s="139">
        <v>356</v>
      </c>
      <c r="C359" s="139">
        <v>707</v>
      </c>
      <c r="D359" s="139" t="s">
        <v>1150</v>
      </c>
      <c r="E359" s="151" t="s">
        <v>283</v>
      </c>
      <c r="F359" s="196" t="s">
        <v>1151</v>
      </c>
      <c r="G359" s="95" t="s">
        <v>458</v>
      </c>
      <c r="H359" s="139">
        <v>14</v>
      </c>
      <c r="I359" s="139">
        <v>4</v>
      </c>
      <c r="J359" s="139">
        <v>0.30880000000000002</v>
      </c>
      <c r="K359" s="139">
        <v>0.28189999999999998</v>
      </c>
      <c r="L359" s="95" t="s">
        <v>459</v>
      </c>
      <c r="M359" s="139">
        <v>0</v>
      </c>
      <c r="N359" s="210">
        <v>3.0000000000000001E-3</v>
      </c>
      <c r="O359" s="209">
        <v>0.88</v>
      </c>
      <c r="P359" s="139">
        <v>3.37</v>
      </c>
      <c r="Q359" s="139">
        <v>1.24</v>
      </c>
      <c r="R359" s="150">
        <v>0</v>
      </c>
      <c r="S359" s="179">
        <f t="shared" si="10"/>
        <v>0</v>
      </c>
      <c r="T359" s="179">
        <f t="shared" si="11"/>
        <v>0</v>
      </c>
      <c r="U359" s="179"/>
      <c r="V359" s="150" t="s">
        <v>460</v>
      </c>
      <c r="W359" s="150" t="s">
        <v>460</v>
      </c>
      <c r="X359" s="150" t="s">
        <v>460</v>
      </c>
    </row>
    <row r="360" spans="2:24" x14ac:dyDescent="0.3">
      <c r="B360" s="139">
        <v>357</v>
      </c>
      <c r="C360" s="139">
        <v>708</v>
      </c>
      <c r="D360" s="139" t="s">
        <v>1152</v>
      </c>
      <c r="E360" s="151" t="s">
        <v>283</v>
      </c>
      <c r="F360" s="196" t="s">
        <v>1153</v>
      </c>
      <c r="G360" s="95" t="s">
        <v>458</v>
      </c>
      <c r="H360" s="139">
        <v>1</v>
      </c>
      <c r="I360" s="139">
        <v>1</v>
      </c>
      <c r="J360" s="139">
        <v>1.7500000000000002E-2</v>
      </c>
      <c r="K360" s="139">
        <v>1.7500000000000002E-2</v>
      </c>
      <c r="L360" s="95" t="s">
        <v>459</v>
      </c>
      <c r="M360" s="139">
        <v>0</v>
      </c>
      <c r="N360" s="210">
        <v>6.0000000000000001E-3</v>
      </c>
      <c r="O360" s="209">
        <v>1.63</v>
      </c>
      <c r="P360" s="139">
        <v>6.27</v>
      </c>
      <c r="Q360" s="139">
        <v>2.31</v>
      </c>
      <c r="R360" s="150">
        <v>0</v>
      </c>
      <c r="S360" s="179">
        <f t="shared" si="10"/>
        <v>0</v>
      </c>
      <c r="T360" s="179">
        <f t="shared" si="11"/>
        <v>0</v>
      </c>
      <c r="U360" s="179"/>
      <c r="V360" s="150" t="s">
        <v>460</v>
      </c>
      <c r="W360" s="150" t="s">
        <v>460</v>
      </c>
      <c r="X360" s="150" t="s">
        <v>460</v>
      </c>
    </row>
    <row r="361" spans="2:24" x14ac:dyDescent="0.3">
      <c r="B361" s="139">
        <v>358</v>
      </c>
      <c r="C361" s="139">
        <v>709</v>
      </c>
      <c r="D361" s="139" t="s">
        <v>1154</v>
      </c>
      <c r="E361" s="151" t="s">
        <v>283</v>
      </c>
      <c r="F361" s="196" t="s">
        <v>1155</v>
      </c>
      <c r="G361" s="95" t="s">
        <v>458</v>
      </c>
      <c r="H361" s="139">
        <v>1</v>
      </c>
      <c r="I361" s="139">
        <v>1</v>
      </c>
      <c r="J361" s="139">
        <v>1.7500000000000002E-2</v>
      </c>
      <c r="K361" s="139">
        <v>1.7500000000000002E-2</v>
      </c>
      <c r="L361" s="95" t="s">
        <v>459</v>
      </c>
      <c r="M361" s="139">
        <v>0</v>
      </c>
      <c r="N361" s="210">
        <v>6.0000000000000001E-3</v>
      </c>
      <c r="O361" s="209">
        <v>1.63</v>
      </c>
      <c r="P361" s="139">
        <v>6.27</v>
      </c>
      <c r="Q361" s="139">
        <v>2.31</v>
      </c>
      <c r="R361" s="150">
        <v>0</v>
      </c>
      <c r="S361" s="179">
        <f t="shared" si="10"/>
        <v>0</v>
      </c>
      <c r="T361" s="179">
        <f t="shared" si="11"/>
        <v>0</v>
      </c>
      <c r="U361" s="179"/>
      <c r="V361" s="150" t="s">
        <v>460</v>
      </c>
      <c r="W361" s="150" t="s">
        <v>460</v>
      </c>
      <c r="X361" s="150" t="s">
        <v>460</v>
      </c>
    </row>
    <row r="362" spans="2:24" x14ac:dyDescent="0.3">
      <c r="B362" s="139">
        <v>359</v>
      </c>
      <c r="C362" s="139">
        <v>710</v>
      </c>
      <c r="D362" s="139" t="s">
        <v>1156</v>
      </c>
      <c r="E362" s="151" t="s">
        <v>283</v>
      </c>
      <c r="F362" s="196" t="s">
        <v>1157</v>
      </c>
      <c r="G362" s="95" t="s">
        <v>458</v>
      </c>
      <c r="H362" s="139">
        <v>2</v>
      </c>
      <c r="I362" s="139">
        <v>2</v>
      </c>
      <c r="J362" s="139">
        <v>3.5000000000000003E-2</v>
      </c>
      <c r="K362" s="139">
        <v>3.5000000000000003E-2</v>
      </c>
      <c r="L362" s="95" t="s">
        <v>459</v>
      </c>
      <c r="M362" s="139">
        <v>0</v>
      </c>
      <c r="N362" s="210">
        <v>6.0000000000000001E-3</v>
      </c>
      <c r="O362" s="209">
        <v>1.54</v>
      </c>
      <c r="P362" s="139">
        <v>5.93</v>
      </c>
      <c r="Q362" s="139">
        <v>2.1800000000000002</v>
      </c>
      <c r="R362" s="150">
        <v>0</v>
      </c>
      <c r="S362" s="179">
        <f t="shared" si="10"/>
        <v>0</v>
      </c>
      <c r="T362" s="179">
        <f t="shared" si="11"/>
        <v>0</v>
      </c>
      <c r="U362" s="179"/>
      <c r="V362" s="150" t="s">
        <v>460</v>
      </c>
      <c r="W362" s="150" t="s">
        <v>460</v>
      </c>
      <c r="X362" s="150" t="s">
        <v>460</v>
      </c>
    </row>
    <row r="363" spans="2:24" x14ac:dyDescent="0.3">
      <c r="B363" s="139">
        <v>360</v>
      </c>
      <c r="C363" s="139">
        <v>711</v>
      </c>
      <c r="D363" s="139" t="s">
        <v>1158</v>
      </c>
      <c r="E363" s="151" t="s">
        <v>283</v>
      </c>
      <c r="F363" s="196" t="s">
        <v>1159</v>
      </c>
      <c r="G363" s="95" t="s">
        <v>458</v>
      </c>
      <c r="H363" s="139">
        <v>17</v>
      </c>
      <c r="I363" s="139">
        <v>2</v>
      </c>
      <c r="J363" s="139">
        <v>4.3200000000000002E-2</v>
      </c>
      <c r="K363" s="139">
        <v>0.43169999999999997</v>
      </c>
      <c r="L363" s="95" t="s">
        <v>459</v>
      </c>
      <c r="M363" s="139">
        <v>0</v>
      </c>
      <c r="N363" s="210">
        <v>3.0000000000000001E-3</v>
      </c>
      <c r="O363" s="209">
        <v>0.69</v>
      </c>
      <c r="P363" s="139">
        <v>2.67</v>
      </c>
      <c r="Q363" s="139">
        <v>0.98</v>
      </c>
      <c r="R363" s="150">
        <v>0</v>
      </c>
      <c r="S363" s="179">
        <f t="shared" si="10"/>
        <v>0</v>
      </c>
      <c r="T363" s="179">
        <f t="shared" si="11"/>
        <v>0</v>
      </c>
      <c r="U363" s="179"/>
      <c r="V363" s="150" t="s">
        <v>460</v>
      </c>
      <c r="W363" s="150" t="s">
        <v>460</v>
      </c>
      <c r="X363" s="150" t="s">
        <v>460</v>
      </c>
    </row>
    <row r="364" spans="2:24" x14ac:dyDescent="0.3">
      <c r="B364" s="139">
        <v>361</v>
      </c>
      <c r="C364" s="139">
        <v>712</v>
      </c>
      <c r="D364" s="139" t="s">
        <v>1160</v>
      </c>
      <c r="E364" s="151" t="s">
        <v>283</v>
      </c>
      <c r="F364" s="196" t="s">
        <v>1161</v>
      </c>
      <c r="G364" s="95" t="s">
        <v>458</v>
      </c>
      <c r="H364" s="139">
        <v>10</v>
      </c>
      <c r="I364" s="139">
        <v>4</v>
      </c>
      <c r="J364" s="139">
        <v>0.17519999999999999</v>
      </c>
      <c r="K364" s="139">
        <v>0.17519999999999999</v>
      </c>
      <c r="L364" s="95" t="s">
        <v>459</v>
      </c>
      <c r="M364" s="139">
        <v>1</v>
      </c>
      <c r="N364" s="210">
        <v>1E-3</v>
      </c>
      <c r="O364" s="209">
        <v>0.47</v>
      </c>
      <c r="P364" s="139">
        <v>24.19</v>
      </c>
      <c r="Q364" s="139">
        <v>9.51</v>
      </c>
      <c r="R364" s="139">
        <v>5.71</v>
      </c>
      <c r="S364" s="179">
        <f t="shared" si="10"/>
        <v>5.7077625570776256</v>
      </c>
      <c r="T364" s="179">
        <f t="shared" si="11"/>
        <v>2.2374429223743775E-3</v>
      </c>
      <c r="U364" s="179"/>
      <c r="V364" s="150" t="s">
        <v>460</v>
      </c>
      <c r="W364" s="139">
        <v>2</v>
      </c>
      <c r="X364" s="139">
        <v>2</v>
      </c>
    </row>
    <row r="365" spans="2:24" x14ac:dyDescent="0.3">
      <c r="B365" s="139">
        <v>362</v>
      </c>
      <c r="C365" s="139">
        <v>713</v>
      </c>
      <c r="D365" s="139" t="s">
        <v>1162</v>
      </c>
      <c r="E365" s="151" t="s">
        <v>283</v>
      </c>
      <c r="F365" s="196" t="s">
        <v>1163</v>
      </c>
      <c r="G365" s="95" t="s">
        <v>458</v>
      </c>
      <c r="H365" s="139">
        <v>11</v>
      </c>
      <c r="I365" s="139">
        <v>2</v>
      </c>
      <c r="J365" s="139">
        <v>0.19270000000000001</v>
      </c>
      <c r="K365" s="139">
        <v>0.19270000000000001</v>
      </c>
      <c r="L365" s="95" t="s">
        <v>459</v>
      </c>
      <c r="M365" s="139">
        <v>0</v>
      </c>
      <c r="N365" s="210">
        <v>4.0000000000000001E-3</v>
      </c>
      <c r="O365" s="209">
        <v>1.04</v>
      </c>
      <c r="P365" s="139">
        <v>3.99</v>
      </c>
      <c r="Q365" s="139">
        <v>1.47</v>
      </c>
      <c r="R365" s="150">
        <v>0</v>
      </c>
      <c r="S365" s="179">
        <f t="shared" si="10"/>
        <v>0</v>
      </c>
      <c r="T365" s="179">
        <f t="shared" si="11"/>
        <v>0</v>
      </c>
      <c r="U365" s="179"/>
      <c r="V365" s="150" t="s">
        <v>460</v>
      </c>
      <c r="W365" s="150" t="s">
        <v>460</v>
      </c>
      <c r="X365" s="150" t="s">
        <v>460</v>
      </c>
    </row>
    <row r="366" spans="2:24" x14ac:dyDescent="0.3">
      <c r="B366" s="139">
        <v>363</v>
      </c>
      <c r="C366" s="139">
        <v>714</v>
      </c>
      <c r="D366" s="139" t="s">
        <v>1164</v>
      </c>
      <c r="E366" s="151" t="s">
        <v>283</v>
      </c>
      <c r="F366" s="196" t="s">
        <v>1165</v>
      </c>
      <c r="G366" s="95" t="s">
        <v>458</v>
      </c>
      <c r="H366" s="139">
        <v>1</v>
      </c>
      <c r="I366" s="139">
        <v>1</v>
      </c>
      <c r="J366" s="139">
        <v>1.7500000000000002E-2</v>
      </c>
      <c r="K366" s="139">
        <v>1.7500000000000002E-2</v>
      </c>
      <c r="L366" s="95" t="s">
        <v>459</v>
      </c>
      <c r="M366" s="139">
        <v>0</v>
      </c>
      <c r="N366" s="210">
        <v>6.0000000000000001E-3</v>
      </c>
      <c r="O366" s="209">
        <v>1.63</v>
      </c>
      <c r="P366" s="139">
        <v>6.27</v>
      </c>
      <c r="Q366" s="139">
        <v>2.31</v>
      </c>
      <c r="R366" s="150">
        <v>0</v>
      </c>
      <c r="S366" s="179">
        <f t="shared" si="10"/>
        <v>0</v>
      </c>
      <c r="T366" s="179">
        <f t="shared" si="11"/>
        <v>0</v>
      </c>
      <c r="U366" s="179"/>
      <c r="V366" s="150" t="s">
        <v>460</v>
      </c>
      <c r="W366" s="150" t="s">
        <v>460</v>
      </c>
      <c r="X366" s="150" t="s">
        <v>460</v>
      </c>
    </row>
    <row r="367" spans="2:24" x14ac:dyDescent="0.3">
      <c r="B367" s="139">
        <v>364</v>
      </c>
      <c r="C367" s="139">
        <v>715</v>
      </c>
      <c r="D367" s="139" t="s">
        <v>1166</v>
      </c>
      <c r="E367" s="151" t="s">
        <v>283</v>
      </c>
      <c r="F367" s="196" t="s">
        <v>1167</v>
      </c>
      <c r="G367" s="95" t="s">
        <v>458</v>
      </c>
      <c r="H367" s="139">
        <v>43</v>
      </c>
      <c r="I367" s="139">
        <v>1</v>
      </c>
      <c r="J367" s="139">
        <v>1.1299999999999999</v>
      </c>
      <c r="K367" s="139">
        <v>1.1299999999999999</v>
      </c>
      <c r="L367" s="95" t="s">
        <v>459</v>
      </c>
      <c r="M367" s="139">
        <v>44</v>
      </c>
      <c r="N367" s="139">
        <v>29.81</v>
      </c>
      <c r="O367" s="209">
        <v>38.94</v>
      </c>
      <c r="P367" s="139">
        <v>50.06</v>
      </c>
      <c r="Q367" s="139">
        <v>5.87</v>
      </c>
      <c r="R367" s="139">
        <v>38.94</v>
      </c>
      <c r="S367" s="179">
        <f t="shared" si="10"/>
        <v>38.938053097345133</v>
      </c>
      <c r="T367" s="179">
        <f t="shared" si="11"/>
        <v>1.9469026548648571E-3</v>
      </c>
      <c r="U367" s="179"/>
      <c r="V367" s="150" t="s">
        <v>460</v>
      </c>
      <c r="W367" s="139">
        <v>7.3</v>
      </c>
      <c r="X367" s="139">
        <v>21</v>
      </c>
    </row>
    <row r="368" spans="2:24" x14ac:dyDescent="0.3">
      <c r="B368" s="139">
        <v>365</v>
      </c>
      <c r="C368" s="139">
        <v>718</v>
      </c>
      <c r="D368" s="139" t="s">
        <v>1168</v>
      </c>
      <c r="E368" s="151" t="s">
        <v>283</v>
      </c>
      <c r="F368" s="196" t="s">
        <v>1169</v>
      </c>
      <c r="G368" s="95" t="s">
        <v>458</v>
      </c>
      <c r="H368" s="139">
        <v>43</v>
      </c>
      <c r="I368" s="139">
        <v>1</v>
      </c>
      <c r="J368" s="139">
        <v>1.1299999999999999</v>
      </c>
      <c r="K368" s="139">
        <v>1.1299999999999999</v>
      </c>
      <c r="L368" s="95" t="s">
        <v>459</v>
      </c>
      <c r="M368" s="139">
        <v>44</v>
      </c>
      <c r="N368" s="139">
        <v>29.81</v>
      </c>
      <c r="O368" s="209">
        <v>38.94</v>
      </c>
      <c r="P368" s="139">
        <v>50.06</v>
      </c>
      <c r="Q368" s="139">
        <v>5.87</v>
      </c>
      <c r="R368" s="139">
        <v>38.94</v>
      </c>
      <c r="S368" s="179">
        <f t="shared" si="10"/>
        <v>38.938053097345133</v>
      </c>
      <c r="T368" s="179">
        <f t="shared" si="11"/>
        <v>1.9469026548648571E-3</v>
      </c>
      <c r="U368" s="179"/>
      <c r="V368" s="150" t="s">
        <v>460</v>
      </c>
      <c r="W368" s="139">
        <v>7.3</v>
      </c>
      <c r="X368" s="139">
        <v>21</v>
      </c>
    </row>
    <row r="369" spans="2:24" x14ac:dyDescent="0.3">
      <c r="B369" s="139">
        <v>366</v>
      </c>
      <c r="C369" s="139">
        <v>720</v>
      </c>
      <c r="D369" s="139" t="s">
        <v>1170</v>
      </c>
      <c r="E369" s="151" t="s">
        <v>283</v>
      </c>
      <c r="F369" s="196" t="s">
        <v>1171</v>
      </c>
      <c r="G369" s="95" t="s">
        <v>458</v>
      </c>
      <c r="H369" s="139">
        <v>228</v>
      </c>
      <c r="I369" s="139">
        <v>19</v>
      </c>
      <c r="J369" s="139">
        <v>4.1935000000000002</v>
      </c>
      <c r="K369" s="139">
        <v>4.1852999999999998</v>
      </c>
      <c r="L369" s="95" t="s">
        <v>459</v>
      </c>
      <c r="M369" s="139">
        <v>66</v>
      </c>
      <c r="N369" s="139">
        <v>0.1</v>
      </c>
      <c r="O369" s="209">
        <v>15.75</v>
      </c>
      <c r="P369" s="139">
        <v>55.18</v>
      </c>
      <c r="Q369" s="139">
        <v>20.37</v>
      </c>
      <c r="R369" s="139">
        <v>15.77</v>
      </c>
      <c r="S369" s="179">
        <f t="shared" si="10"/>
        <v>15.769478890402123</v>
      </c>
      <c r="T369" s="179">
        <f t="shared" si="11"/>
        <v>5.2110959787654565E-4</v>
      </c>
      <c r="U369" s="179"/>
      <c r="V369" s="150" t="s">
        <v>460</v>
      </c>
      <c r="W369" s="139">
        <v>4.8</v>
      </c>
      <c r="X369" s="139">
        <v>23</v>
      </c>
    </row>
    <row r="370" spans="2:24" x14ac:dyDescent="0.3">
      <c r="B370" s="139">
        <v>367</v>
      </c>
      <c r="C370" s="139">
        <v>724</v>
      </c>
      <c r="D370" s="139" t="s">
        <v>1172</v>
      </c>
      <c r="E370" s="151" t="s">
        <v>283</v>
      </c>
      <c r="F370" s="196" t="s">
        <v>1173</v>
      </c>
      <c r="G370" s="95" t="s">
        <v>458</v>
      </c>
      <c r="H370" s="139">
        <v>11</v>
      </c>
      <c r="I370" s="139">
        <v>2</v>
      </c>
      <c r="J370" s="139">
        <v>0.2893</v>
      </c>
      <c r="K370" s="139">
        <v>0.28910000000000002</v>
      </c>
      <c r="L370" s="95" t="s">
        <v>459</v>
      </c>
      <c r="M370" s="139">
        <v>2</v>
      </c>
      <c r="N370" s="139">
        <v>1.24</v>
      </c>
      <c r="O370" s="209">
        <v>6.94</v>
      </c>
      <c r="P370" s="139">
        <v>16.43</v>
      </c>
      <c r="Q370" s="139">
        <v>4.8899999999999997</v>
      </c>
      <c r="R370" s="139">
        <v>6.92</v>
      </c>
      <c r="S370" s="179">
        <f t="shared" si="10"/>
        <v>6.9180214458664819</v>
      </c>
      <c r="T370" s="179">
        <f t="shared" si="11"/>
        <v>1.9785541335179957E-3</v>
      </c>
      <c r="U370" s="179"/>
      <c r="V370" s="150" t="s">
        <v>460</v>
      </c>
      <c r="W370" s="139">
        <v>15</v>
      </c>
      <c r="X370" s="139">
        <v>16</v>
      </c>
    </row>
    <row r="371" spans="2:24" x14ac:dyDescent="0.3">
      <c r="B371" s="139">
        <v>368</v>
      </c>
      <c r="C371" s="139">
        <v>725</v>
      </c>
      <c r="D371" s="139" t="s">
        <v>1174</v>
      </c>
      <c r="E371" s="151" t="s">
        <v>283</v>
      </c>
      <c r="F371" s="196" t="s">
        <v>1175</v>
      </c>
      <c r="G371" s="95" t="s">
        <v>458</v>
      </c>
      <c r="H371" s="139">
        <v>8</v>
      </c>
      <c r="I371" s="139">
        <v>1</v>
      </c>
      <c r="J371" s="139">
        <v>7.0099999999999996E-2</v>
      </c>
      <c r="K371" s="139">
        <v>6.7799999999999999E-2</v>
      </c>
      <c r="L371" s="95" t="s">
        <v>459</v>
      </c>
      <c r="M371" s="139">
        <v>0</v>
      </c>
      <c r="N371" s="139">
        <v>0.02</v>
      </c>
      <c r="O371" s="209">
        <v>5.0199999999999996</v>
      </c>
      <c r="P371" s="139">
        <v>19.29</v>
      </c>
      <c r="Q371" s="139">
        <v>7.1</v>
      </c>
      <c r="R371" s="150">
        <v>0</v>
      </c>
      <c r="S371" s="179">
        <f t="shared" si="10"/>
        <v>0</v>
      </c>
      <c r="T371" s="179">
        <f t="shared" si="11"/>
        <v>0</v>
      </c>
      <c r="U371" s="179"/>
      <c r="V371" s="150" t="s">
        <v>460</v>
      </c>
      <c r="W371" s="150" t="s">
        <v>460</v>
      </c>
      <c r="X371" s="150" t="s">
        <v>460</v>
      </c>
    </row>
    <row r="372" spans="2:24" x14ac:dyDescent="0.3">
      <c r="B372" s="139">
        <v>369</v>
      </c>
      <c r="C372" s="139">
        <v>726</v>
      </c>
      <c r="D372" s="139" t="s">
        <v>1176</v>
      </c>
      <c r="E372" s="151" t="s">
        <v>283</v>
      </c>
      <c r="F372" s="196" t="s">
        <v>1177</v>
      </c>
      <c r="G372" s="95" t="s">
        <v>458</v>
      </c>
      <c r="H372" s="139">
        <v>6</v>
      </c>
      <c r="I372" s="139">
        <v>2</v>
      </c>
      <c r="J372" s="139">
        <v>0.12280000000000001</v>
      </c>
      <c r="K372" s="139">
        <v>0.1226</v>
      </c>
      <c r="L372" s="95" t="s">
        <v>459</v>
      </c>
      <c r="M372" s="139">
        <v>2</v>
      </c>
      <c r="N372" s="139">
        <v>0.2</v>
      </c>
      <c r="O372" s="209">
        <v>18.010000000000002</v>
      </c>
      <c r="P372" s="139">
        <v>58.49</v>
      </c>
      <c r="Q372" s="139">
        <v>21.27</v>
      </c>
      <c r="R372" s="139">
        <v>16.309999999999999</v>
      </c>
      <c r="S372" s="179">
        <f t="shared" si="10"/>
        <v>16.31321370309951</v>
      </c>
      <c r="T372" s="179">
        <f t="shared" si="11"/>
        <v>3.2137030995116334E-3</v>
      </c>
      <c r="U372" s="179"/>
      <c r="V372" s="150" t="s">
        <v>460</v>
      </c>
      <c r="W372" s="139">
        <v>7</v>
      </c>
      <c r="X372" s="139">
        <v>8</v>
      </c>
    </row>
    <row r="373" spans="2:24" x14ac:dyDescent="0.3">
      <c r="B373" s="139">
        <v>370</v>
      </c>
      <c r="C373" s="139">
        <v>727</v>
      </c>
      <c r="D373" s="139" t="s">
        <v>1178</v>
      </c>
      <c r="E373" s="151" t="s">
        <v>283</v>
      </c>
      <c r="F373" s="196" t="s">
        <v>1179</v>
      </c>
      <c r="G373" s="95" t="s">
        <v>458</v>
      </c>
      <c r="H373" s="139">
        <v>8</v>
      </c>
      <c r="I373" s="139">
        <v>5</v>
      </c>
      <c r="J373" s="139">
        <v>0.1754</v>
      </c>
      <c r="K373" s="139">
        <v>0.17519999999999999</v>
      </c>
      <c r="L373" s="95" t="s">
        <v>459</v>
      </c>
      <c r="M373" s="139">
        <v>0</v>
      </c>
      <c r="N373" s="139">
        <v>0.01</v>
      </c>
      <c r="O373" s="209">
        <v>2.42</v>
      </c>
      <c r="P373" s="139">
        <v>9.2799999999999994</v>
      </c>
      <c r="Q373" s="139">
        <v>3.42</v>
      </c>
      <c r="R373" s="150">
        <v>0</v>
      </c>
      <c r="S373" s="179">
        <f t="shared" si="10"/>
        <v>0</v>
      </c>
      <c r="T373" s="179">
        <f t="shared" si="11"/>
        <v>0</v>
      </c>
      <c r="U373" s="179"/>
      <c r="V373" s="150" t="s">
        <v>460</v>
      </c>
      <c r="W373" s="150" t="s">
        <v>460</v>
      </c>
      <c r="X373" s="150" t="s">
        <v>460</v>
      </c>
    </row>
    <row r="374" spans="2:24" x14ac:dyDescent="0.3">
      <c r="B374" s="139">
        <v>371</v>
      </c>
      <c r="C374" s="139">
        <v>728</v>
      </c>
      <c r="D374" s="139" t="s">
        <v>1180</v>
      </c>
      <c r="E374" s="151" t="s">
        <v>283</v>
      </c>
      <c r="F374" s="196" t="s">
        <v>1181</v>
      </c>
      <c r="G374" s="95" t="s">
        <v>458</v>
      </c>
      <c r="H374" s="139">
        <v>32</v>
      </c>
      <c r="I374" s="139">
        <v>1</v>
      </c>
      <c r="J374" s="139">
        <v>0.56059999999999999</v>
      </c>
      <c r="K374" s="139">
        <v>0.55420000000000003</v>
      </c>
      <c r="L374" s="95" t="s">
        <v>459</v>
      </c>
      <c r="M374" s="139">
        <v>23</v>
      </c>
      <c r="N374" s="139">
        <v>28.36</v>
      </c>
      <c r="O374" s="209">
        <v>41.5</v>
      </c>
      <c r="P374" s="139">
        <v>58.79</v>
      </c>
      <c r="Q374" s="139">
        <v>8.65</v>
      </c>
      <c r="R374" s="139">
        <v>41.5</v>
      </c>
      <c r="S374" s="179">
        <f t="shared" si="10"/>
        <v>41.50126308191988</v>
      </c>
      <c r="T374" s="179">
        <f t="shared" si="11"/>
        <v>1.2630819198804488E-3</v>
      </c>
      <c r="U374" s="179"/>
      <c r="V374" s="150" t="s">
        <v>460</v>
      </c>
      <c r="W374" s="139">
        <v>3.3</v>
      </c>
      <c r="X374" s="139">
        <v>9</v>
      </c>
    </row>
    <row r="375" spans="2:24" x14ac:dyDescent="0.3">
      <c r="B375" s="139">
        <v>372</v>
      </c>
      <c r="C375" s="139">
        <v>729</v>
      </c>
      <c r="D375" s="139" t="s">
        <v>1182</v>
      </c>
      <c r="E375" s="151" t="s">
        <v>283</v>
      </c>
      <c r="F375" s="196" t="s">
        <v>1183</v>
      </c>
      <c r="G375" s="95" t="s">
        <v>458</v>
      </c>
      <c r="H375" s="139">
        <v>6</v>
      </c>
      <c r="I375" s="139">
        <v>1</v>
      </c>
      <c r="J375" s="139">
        <v>0.16700000000000001</v>
      </c>
      <c r="K375" s="139">
        <v>0.16689999999999999</v>
      </c>
      <c r="L375" s="95" t="s">
        <v>459</v>
      </c>
      <c r="M375" s="139">
        <v>14</v>
      </c>
      <c r="N375" s="139">
        <v>50.7</v>
      </c>
      <c r="O375" s="209">
        <v>83.88</v>
      </c>
      <c r="P375" s="139">
        <v>131.12</v>
      </c>
      <c r="Q375" s="139">
        <v>22.42</v>
      </c>
      <c r="R375" s="139">
        <v>83.88</v>
      </c>
      <c r="S375" s="179">
        <f t="shared" si="10"/>
        <v>83.882564409826244</v>
      </c>
      <c r="T375" s="179">
        <f t="shared" si="11"/>
        <v>2.5644098262489479E-3</v>
      </c>
      <c r="U375" s="179"/>
      <c r="V375" s="150" t="s">
        <v>460</v>
      </c>
      <c r="W375" s="139">
        <v>5.4</v>
      </c>
      <c r="X375" s="139">
        <v>23</v>
      </c>
    </row>
    <row r="376" spans="2:24" x14ac:dyDescent="0.3">
      <c r="B376" s="139">
        <v>373</v>
      </c>
      <c r="C376" s="139">
        <v>730</v>
      </c>
      <c r="D376" s="139" t="s">
        <v>1184</v>
      </c>
      <c r="E376" s="151" t="s">
        <v>283</v>
      </c>
      <c r="F376" s="196" t="s">
        <v>1185</v>
      </c>
      <c r="G376" s="95" t="s">
        <v>458</v>
      </c>
      <c r="H376" s="139">
        <v>1</v>
      </c>
      <c r="I376" s="139">
        <v>1</v>
      </c>
      <c r="J376" s="139">
        <v>2.63E-2</v>
      </c>
      <c r="K376" s="139">
        <v>0.26300000000000001</v>
      </c>
      <c r="L376" s="95" t="s">
        <v>459</v>
      </c>
      <c r="M376" s="139">
        <v>0</v>
      </c>
      <c r="N376" s="139">
        <v>0.03</v>
      </c>
      <c r="O376" s="209">
        <v>8.6199999999999992</v>
      </c>
      <c r="P376" s="139">
        <v>33.08</v>
      </c>
      <c r="Q376" s="139">
        <v>12.18</v>
      </c>
      <c r="R376" s="150">
        <v>0</v>
      </c>
      <c r="S376" s="179">
        <f t="shared" si="10"/>
        <v>0</v>
      </c>
      <c r="T376" s="179">
        <f t="shared" si="11"/>
        <v>0</v>
      </c>
      <c r="U376" s="179"/>
      <c r="V376" s="150" t="s">
        <v>460</v>
      </c>
      <c r="W376" s="150" t="s">
        <v>460</v>
      </c>
      <c r="X376" s="150" t="s">
        <v>460</v>
      </c>
    </row>
    <row r="377" spans="2:24" x14ac:dyDescent="0.3">
      <c r="B377" s="139">
        <v>374</v>
      </c>
      <c r="C377" s="139">
        <v>731</v>
      </c>
      <c r="D377" s="139" t="s">
        <v>1186</v>
      </c>
      <c r="E377" s="151" t="s">
        <v>283</v>
      </c>
      <c r="F377" s="196" t="s">
        <v>1187</v>
      </c>
      <c r="G377" s="95" t="s">
        <v>458</v>
      </c>
      <c r="H377" s="139">
        <v>121</v>
      </c>
      <c r="I377" s="139">
        <v>7</v>
      </c>
      <c r="J377" s="139">
        <v>2.117</v>
      </c>
      <c r="K377" s="139">
        <v>2.1192000000000002</v>
      </c>
      <c r="L377" s="95" t="s">
        <v>459</v>
      </c>
      <c r="M377" s="139">
        <v>14</v>
      </c>
      <c r="N377" s="139">
        <v>3.28</v>
      </c>
      <c r="O377" s="209">
        <v>6.43</v>
      </c>
      <c r="P377" s="139">
        <v>10.42</v>
      </c>
      <c r="Q377" s="139">
        <v>2.2000000000000002</v>
      </c>
      <c r="R377" s="139">
        <v>6.61</v>
      </c>
      <c r="S377" s="179">
        <f t="shared" si="10"/>
        <v>6.606266515666289</v>
      </c>
      <c r="T377" s="179">
        <f t="shared" si="11"/>
        <v>3.7334843337113455E-3</v>
      </c>
      <c r="U377" s="179"/>
      <c r="V377" s="150" t="s">
        <v>460</v>
      </c>
      <c r="W377" s="139">
        <v>11</v>
      </c>
      <c r="X377" s="139">
        <v>16</v>
      </c>
    </row>
    <row r="378" spans="2:24" x14ac:dyDescent="0.3">
      <c r="B378" s="139">
        <v>375</v>
      </c>
      <c r="C378" s="139">
        <v>732</v>
      </c>
      <c r="D378" s="139" t="s">
        <v>1188</v>
      </c>
      <c r="E378" s="151" t="s">
        <v>283</v>
      </c>
      <c r="F378" s="196" t="s">
        <v>1189</v>
      </c>
      <c r="G378" s="95" t="s">
        <v>458</v>
      </c>
      <c r="H378" s="139">
        <v>3</v>
      </c>
      <c r="I378" s="139">
        <v>2</v>
      </c>
      <c r="J378" s="139">
        <v>0.1071</v>
      </c>
      <c r="K378" s="139">
        <v>0.1071</v>
      </c>
      <c r="L378" s="95" t="s">
        <v>459</v>
      </c>
      <c r="M378" s="139">
        <v>7</v>
      </c>
      <c r="N378" s="139">
        <v>27.36</v>
      </c>
      <c r="O378" s="209">
        <v>62.76</v>
      </c>
      <c r="P378" s="139">
        <v>109.96</v>
      </c>
      <c r="Q378" s="139">
        <v>25.61</v>
      </c>
      <c r="R378" s="139">
        <v>65.38</v>
      </c>
      <c r="S378" s="179">
        <f t="shared" si="10"/>
        <v>65.359477124183002</v>
      </c>
      <c r="T378" s="179">
        <f t="shared" si="11"/>
        <v>2.0522875816993746E-2</v>
      </c>
      <c r="U378" s="179"/>
      <c r="V378" s="150" t="s">
        <v>460</v>
      </c>
      <c r="W378" s="139">
        <v>4.5999999999999996</v>
      </c>
      <c r="X378" s="139">
        <v>12</v>
      </c>
    </row>
    <row r="379" spans="2:24" x14ac:dyDescent="0.3">
      <c r="B379" s="139">
        <v>376</v>
      </c>
      <c r="C379" s="139">
        <v>733</v>
      </c>
      <c r="D379" s="139" t="s">
        <v>1190</v>
      </c>
      <c r="E379" s="151" t="s">
        <v>283</v>
      </c>
      <c r="F379" s="196" t="s">
        <v>1191</v>
      </c>
      <c r="G379" s="95" t="s">
        <v>458</v>
      </c>
      <c r="H379" s="139">
        <v>2</v>
      </c>
      <c r="I379" s="139">
        <v>1</v>
      </c>
      <c r="J379" s="139">
        <v>3.5000000000000003E-2</v>
      </c>
      <c r="K379" s="139">
        <v>3.475842891901286E-2</v>
      </c>
      <c r="L379" s="95" t="s">
        <v>459</v>
      </c>
      <c r="M379" s="139">
        <v>2</v>
      </c>
      <c r="N379" s="139">
        <v>10.25</v>
      </c>
      <c r="O379" s="209">
        <v>57.54</v>
      </c>
      <c r="P379" s="139">
        <v>181.73</v>
      </c>
      <c r="Q379" s="139">
        <v>40.83</v>
      </c>
      <c r="R379" s="139">
        <v>57.54</v>
      </c>
      <c r="S379" s="179">
        <f t="shared" si="10"/>
        <v>57.54</v>
      </c>
      <c r="T379" s="179">
        <f t="shared" si="11"/>
        <v>0</v>
      </c>
      <c r="U379" s="185">
        <f>M379/R379</f>
        <v>3.475842891901286E-2</v>
      </c>
      <c r="V379" s="150" t="s">
        <v>460</v>
      </c>
      <c r="W379" s="139">
        <v>1.5</v>
      </c>
      <c r="X379" s="139">
        <v>2</v>
      </c>
    </row>
    <row r="380" spans="2:24" x14ac:dyDescent="0.3">
      <c r="B380" s="139">
        <v>377</v>
      </c>
      <c r="C380" s="139">
        <v>734</v>
      </c>
      <c r="D380" s="139" t="s">
        <v>1192</v>
      </c>
      <c r="E380" s="151" t="s">
        <v>283</v>
      </c>
      <c r="F380" s="196" t="s">
        <v>1193</v>
      </c>
      <c r="G380" s="95" t="s">
        <v>458</v>
      </c>
      <c r="H380" s="139">
        <v>6</v>
      </c>
      <c r="I380" s="139">
        <v>1</v>
      </c>
      <c r="J380" s="139">
        <v>0.1051</v>
      </c>
      <c r="K380" s="139">
        <v>0.1051</v>
      </c>
      <c r="L380" s="95" t="s">
        <v>459</v>
      </c>
      <c r="M380" s="139">
        <v>0</v>
      </c>
      <c r="N380" s="139">
        <v>0.01</v>
      </c>
      <c r="O380" s="209">
        <v>3.65</v>
      </c>
      <c r="P380" s="139">
        <v>14.03</v>
      </c>
      <c r="Q380" s="139">
        <v>5.17</v>
      </c>
      <c r="R380" s="150">
        <v>0</v>
      </c>
      <c r="S380" s="179">
        <f t="shared" si="10"/>
        <v>0</v>
      </c>
      <c r="T380" s="179">
        <f t="shared" si="11"/>
        <v>0</v>
      </c>
      <c r="U380" s="179"/>
      <c r="V380" s="150" t="s">
        <v>460</v>
      </c>
      <c r="W380" s="150" t="s">
        <v>460</v>
      </c>
      <c r="X380" s="150" t="s">
        <v>460</v>
      </c>
    </row>
    <row r="381" spans="2:24" x14ac:dyDescent="0.3">
      <c r="B381" s="139">
        <v>378</v>
      </c>
      <c r="C381" s="139">
        <v>735</v>
      </c>
      <c r="D381" s="139" t="s">
        <v>1194</v>
      </c>
      <c r="E381" s="151" t="s">
        <v>283</v>
      </c>
      <c r="F381" s="196" t="s">
        <v>1195</v>
      </c>
      <c r="G381" s="95" t="s">
        <v>458</v>
      </c>
      <c r="H381" s="139">
        <v>24</v>
      </c>
      <c r="I381" s="139">
        <v>1</v>
      </c>
      <c r="J381" s="139">
        <v>0.41760000000000003</v>
      </c>
      <c r="K381" s="139">
        <v>0.41720000000000002</v>
      </c>
      <c r="L381" s="95" t="s">
        <v>459</v>
      </c>
      <c r="M381" s="139">
        <v>2</v>
      </c>
      <c r="N381" s="139">
        <v>0.85</v>
      </c>
      <c r="O381" s="209">
        <v>4.79</v>
      </c>
      <c r="P381" s="139">
        <v>15.09</v>
      </c>
      <c r="Q381" s="139">
        <v>3.39</v>
      </c>
      <c r="R381" s="139">
        <v>4.79</v>
      </c>
      <c r="S381" s="179">
        <f t="shared" si="10"/>
        <v>4.7938638542665384</v>
      </c>
      <c r="T381" s="179">
        <f t="shared" si="11"/>
        <v>3.8638542665383468E-3</v>
      </c>
      <c r="U381" s="179"/>
      <c r="V381" s="150" t="s">
        <v>460</v>
      </c>
      <c r="W381" s="150" t="s">
        <v>460</v>
      </c>
      <c r="X381" s="150" t="s">
        <v>460</v>
      </c>
    </row>
    <row r="382" spans="2:24" x14ac:dyDescent="0.3">
      <c r="B382" s="139">
        <v>379</v>
      </c>
      <c r="C382" s="139">
        <v>736</v>
      </c>
      <c r="D382" s="139" t="s">
        <v>1196</v>
      </c>
      <c r="E382" s="151" t="s">
        <v>283</v>
      </c>
      <c r="F382" s="196" t="s">
        <v>1197</v>
      </c>
      <c r="G382" s="95" t="s">
        <v>458</v>
      </c>
      <c r="H382" s="139">
        <v>53</v>
      </c>
      <c r="I382" s="139">
        <v>1</v>
      </c>
      <c r="J382" s="139">
        <v>2.5291000000000001</v>
      </c>
      <c r="K382" s="139">
        <v>1.8439000000000001</v>
      </c>
      <c r="L382" s="95" t="s">
        <v>459</v>
      </c>
      <c r="M382" s="139">
        <v>34</v>
      </c>
      <c r="N382" s="139">
        <v>13.56</v>
      </c>
      <c r="O382" s="209">
        <v>18.440000000000001</v>
      </c>
      <c r="P382" s="139">
        <v>24.55</v>
      </c>
      <c r="Q382" s="139">
        <v>3.16</v>
      </c>
      <c r="R382" s="139">
        <v>18.440000000000001</v>
      </c>
      <c r="S382" s="179">
        <f t="shared" si="10"/>
        <v>18.439177829600304</v>
      </c>
      <c r="T382" s="179">
        <f t="shared" si="11"/>
        <v>8.2217039969734174E-4</v>
      </c>
      <c r="U382" s="179"/>
      <c r="V382" s="150" t="s">
        <v>460</v>
      </c>
      <c r="W382" s="139">
        <v>4.5</v>
      </c>
      <c r="X382" s="139">
        <v>13</v>
      </c>
    </row>
    <row r="383" spans="2:24" x14ac:dyDescent="0.3">
      <c r="B383" s="139">
        <v>380</v>
      </c>
      <c r="C383" s="139">
        <v>739</v>
      </c>
      <c r="D383" s="139" t="s">
        <v>1198</v>
      </c>
      <c r="E383" s="151" t="s">
        <v>283</v>
      </c>
      <c r="F383" s="196" t="s">
        <v>1199</v>
      </c>
      <c r="G383" s="95" t="s">
        <v>458</v>
      </c>
      <c r="H383" s="139">
        <v>3</v>
      </c>
      <c r="I383" s="139">
        <v>1</v>
      </c>
      <c r="J383" s="139">
        <v>0.14779999999999999</v>
      </c>
      <c r="K383" s="139">
        <v>0.1074</v>
      </c>
      <c r="L383" s="95" t="s">
        <v>459</v>
      </c>
      <c r="M383" s="139">
        <v>3</v>
      </c>
      <c r="N383" s="139">
        <v>7.63</v>
      </c>
      <c r="O383" s="209">
        <v>27.93</v>
      </c>
      <c r="P383" s="139">
        <v>72.19</v>
      </c>
      <c r="Q383" s="139">
        <v>16.12</v>
      </c>
      <c r="R383" s="139">
        <v>27.93</v>
      </c>
      <c r="S383" s="179">
        <f t="shared" si="10"/>
        <v>27.932960893854748</v>
      </c>
      <c r="T383" s="179">
        <f t="shared" si="11"/>
        <v>2.9608938547482921E-3</v>
      </c>
      <c r="U383" s="179"/>
      <c r="V383" s="150" t="s">
        <v>460</v>
      </c>
      <c r="W383" s="139">
        <v>3.3</v>
      </c>
      <c r="X383" s="139">
        <v>3.5</v>
      </c>
    </row>
    <row r="384" spans="2:24" x14ac:dyDescent="0.3">
      <c r="B384" s="139">
        <v>381</v>
      </c>
      <c r="C384" s="139">
        <v>740</v>
      </c>
      <c r="D384" s="139" t="s">
        <v>1200</v>
      </c>
      <c r="E384" s="151" t="s">
        <v>283</v>
      </c>
      <c r="F384" s="196" t="s">
        <v>1201</v>
      </c>
      <c r="G384" s="95" t="s">
        <v>458</v>
      </c>
      <c r="H384" s="139">
        <v>5</v>
      </c>
      <c r="I384" s="139">
        <v>1</v>
      </c>
      <c r="J384" s="139">
        <v>0.16400000000000001</v>
      </c>
      <c r="K384" s="139">
        <v>0.12509999999999999</v>
      </c>
      <c r="L384" s="95" t="s">
        <v>459</v>
      </c>
      <c r="M384" s="139">
        <v>0</v>
      </c>
      <c r="N384" s="139">
        <v>0.01</v>
      </c>
      <c r="O384" s="209">
        <v>3.28</v>
      </c>
      <c r="P384" s="139">
        <v>12.61</v>
      </c>
      <c r="Q384" s="139">
        <v>4.6500000000000004</v>
      </c>
      <c r="R384" s="150">
        <v>0</v>
      </c>
      <c r="S384" s="179">
        <f t="shared" si="10"/>
        <v>0</v>
      </c>
      <c r="T384" s="179">
        <f t="shared" si="11"/>
        <v>0</v>
      </c>
      <c r="U384" s="179"/>
      <c r="V384" s="150" t="s">
        <v>460</v>
      </c>
      <c r="W384" s="150" t="s">
        <v>460</v>
      </c>
      <c r="X384" s="150" t="s">
        <v>460</v>
      </c>
    </row>
    <row r="385" spans="2:24" x14ac:dyDescent="0.3">
      <c r="B385" s="139">
        <v>382</v>
      </c>
      <c r="C385" s="139">
        <v>741</v>
      </c>
      <c r="D385" s="139" t="s">
        <v>1202</v>
      </c>
      <c r="E385" s="151" t="s">
        <v>283</v>
      </c>
      <c r="F385" s="196" t="s">
        <v>1203</v>
      </c>
      <c r="G385" s="95" t="s">
        <v>458</v>
      </c>
      <c r="H385" s="139">
        <v>25</v>
      </c>
      <c r="I385" s="139">
        <v>1</v>
      </c>
      <c r="J385" s="139">
        <v>1.2318</v>
      </c>
      <c r="K385" s="139">
        <v>0.8952</v>
      </c>
      <c r="L385" s="95" t="s">
        <v>459</v>
      </c>
      <c r="M385" s="139">
        <v>16</v>
      </c>
      <c r="N385" s="139">
        <v>11.21</v>
      </c>
      <c r="O385" s="209">
        <v>17.87</v>
      </c>
      <c r="P385" s="139">
        <v>27.14</v>
      </c>
      <c r="Q385" s="139">
        <v>4.47</v>
      </c>
      <c r="R385" s="139">
        <v>17.87</v>
      </c>
      <c r="S385" s="179">
        <f t="shared" si="10"/>
        <v>17.873100983020553</v>
      </c>
      <c r="T385" s="179">
        <f t="shared" si="11"/>
        <v>3.1009830205519506E-3</v>
      </c>
      <c r="U385" s="179"/>
      <c r="V385" s="150" t="s">
        <v>460</v>
      </c>
      <c r="W385" s="139">
        <v>4.5999999999999996</v>
      </c>
      <c r="X385" s="139">
        <v>12</v>
      </c>
    </row>
    <row r="386" spans="2:24" x14ac:dyDescent="0.3">
      <c r="B386" s="139">
        <v>383</v>
      </c>
      <c r="C386" s="139">
        <v>742</v>
      </c>
      <c r="D386" s="139" t="s">
        <v>1204</v>
      </c>
      <c r="E386" s="151" t="s">
        <v>283</v>
      </c>
      <c r="F386" s="196" t="s">
        <v>1205</v>
      </c>
      <c r="G386" s="95" t="s">
        <v>458</v>
      </c>
      <c r="H386" s="139">
        <v>4</v>
      </c>
      <c r="I386" s="139">
        <v>1</v>
      </c>
      <c r="J386" s="139">
        <v>0.1971</v>
      </c>
      <c r="K386" s="139">
        <v>0.14319999999999999</v>
      </c>
      <c r="L386" s="95" t="s">
        <v>459</v>
      </c>
      <c r="M386" s="139">
        <v>1</v>
      </c>
      <c r="N386" s="139">
        <v>0.35</v>
      </c>
      <c r="O386" s="209">
        <v>6.98</v>
      </c>
      <c r="P386" s="139">
        <v>33.130000000000003</v>
      </c>
      <c r="Q386" s="139">
        <v>6.98</v>
      </c>
      <c r="R386" s="139">
        <v>6.98</v>
      </c>
      <c r="S386" s="179">
        <f t="shared" si="10"/>
        <v>6.983240223463687</v>
      </c>
      <c r="T386" s="179">
        <f t="shared" si="11"/>
        <v>3.2402234636865757E-3</v>
      </c>
      <c r="U386" s="179"/>
      <c r="V386" s="150" t="s">
        <v>460</v>
      </c>
      <c r="W386" s="139">
        <v>7.5</v>
      </c>
      <c r="X386" s="139">
        <v>7.5</v>
      </c>
    </row>
    <row r="387" spans="2:24" x14ac:dyDescent="0.3">
      <c r="B387" s="139">
        <v>384</v>
      </c>
      <c r="C387" s="139">
        <v>743</v>
      </c>
      <c r="D387" s="139" t="s">
        <v>1206</v>
      </c>
      <c r="E387" s="151" t="s">
        <v>283</v>
      </c>
      <c r="F387" s="196" t="s">
        <v>1207</v>
      </c>
      <c r="G387" s="95" t="s">
        <v>458</v>
      </c>
      <c r="H387" s="139">
        <v>3</v>
      </c>
      <c r="I387" s="139">
        <v>1</v>
      </c>
      <c r="J387" s="139">
        <v>0.14779999999999999</v>
      </c>
      <c r="K387" s="139">
        <v>0.1074</v>
      </c>
      <c r="L387" s="95" t="s">
        <v>459</v>
      </c>
      <c r="M387" s="139">
        <v>0</v>
      </c>
      <c r="N387" s="139">
        <v>0.01</v>
      </c>
      <c r="O387" s="209">
        <v>3.72</v>
      </c>
      <c r="P387" s="139">
        <v>14.27</v>
      </c>
      <c r="Q387" s="139">
        <v>5.26</v>
      </c>
      <c r="R387" s="150">
        <v>0</v>
      </c>
      <c r="S387" s="179">
        <f t="shared" si="10"/>
        <v>0</v>
      </c>
      <c r="T387" s="179">
        <f t="shared" si="11"/>
        <v>0</v>
      </c>
      <c r="U387" s="179"/>
      <c r="V387" s="150" t="s">
        <v>460</v>
      </c>
      <c r="W387" s="150" t="s">
        <v>460</v>
      </c>
      <c r="X387" s="150" t="s">
        <v>460</v>
      </c>
    </row>
    <row r="388" spans="2:24" x14ac:dyDescent="0.3">
      <c r="B388" s="139">
        <v>385</v>
      </c>
      <c r="C388" s="139">
        <v>744</v>
      </c>
      <c r="D388" s="139" t="s">
        <v>1208</v>
      </c>
      <c r="E388" s="151" t="s">
        <v>283</v>
      </c>
      <c r="F388" s="196" t="s">
        <v>1209</v>
      </c>
      <c r="G388" s="95" t="s">
        <v>458</v>
      </c>
      <c r="H388" s="139">
        <v>12</v>
      </c>
      <c r="I388" s="139">
        <v>1</v>
      </c>
      <c r="J388" s="139">
        <v>0.59130000000000005</v>
      </c>
      <c r="K388" s="139">
        <v>0.42970000000000003</v>
      </c>
      <c r="L388" s="95" t="s">
        <v>459</v>
      </c>
      <c r="M388" s="139">
        <v>14</v>
      </c>
      <c r="N388" s="139">
        <v>19.690000000000001</v>
      </c>
      <c r="O388" s="209">
        <v>32.58</v>
      </c>
      <c r="P388" s="139">
        <v>50.93</v>
      </c>
      <c r="Q388" s="139">
        <v>8.7100000000000009</v>
      </c>
      <c r="R388" s="139">
        <v>32.58</v>
      </c>
      <c r="S388" s="179">
        <f t="shared" si="10"/>
        <v>32.580870374680011</v>
      </c>
      <c r="T388" s="179">
        <f t="shared" si="11"/>
        <v>8.703746800122758E-4</v>
      </c>
      <c r="U388" s="179"/>
      <c r="V388" s="150" t="s">
        <v>460</v>
      </c>
      <c r="W388" s="139">
        <v>4.3</v>
      </c>
      <c r="X388" s="139">
        <v>13</v>
      </c>
    </row>
    <row r="389" spans="2:24" x14ac:dyDescent="0.3">
      <c r="B389" s="139">
        <v>386</v>
      </c>
      <c r="C389" s="139">
        <v>745</v>
      </c>
      <c r="D389" s="139" t="s">
        <v>1210</v>
      </c>
      <c r="E389" s="151" t="s">
        <v>283</v>
      </c>
      <c r="F389" s="196" t="s">
        <v>1211</v>
      </c>
      <c r="G389" s="95" t="s">
        <v>458</v>
      </c>
      <c r="H389" s="139">
        <v>1</v>
      </c>
      <c r="I389" s="139">
        <v>1</v>
      </c>
      <c r="J389" s="139">
        <v>4.9299999999999997E-2</v>
      </c>
      <c r="K389" s="139">
        <v>3.5799999999999998E-2</v>
      </c>
      <c r="L389" s="95" t="s">
        <v>459</v>
      </c>
      <c r="M389" s="139">
        <v>0</v>
      </c>
      <c r="N389" s="139">
        <v>0.03</v>
      </c>
      <c r="O389" s="209">
        <v>7.95</v>
      </c>
      <c r="P389" s="139">
        <v>30.51</v>
      </c>
      <c r="Q389" s="139">
        <v>11.24</v>
      </c>
      <c r="R389" s="150">
        <v>0</v>
      </c>
      <c r="S389" s="179">
        <f t="shared" ref="S389:S426" si="12">M389/K389</f>
        <v>0</v>
      </c>
      <c r="T389" s="179">
        <f t="shared" ref="T389:T426" si="13">ABS(R389-S389)</f>
        <v>0</v>
      </c>
      <c r="U389" s="179"/>
      <c r="V389" s="150" t="s">
        <v>460</v>
      </c>
      <c r="W389" s="150" t="s">
        <v>460</v>
      </c>
      <c r="X389" s="150" t="s">
        <v>460</v>
      </c>
    </row>
    <row r="390" spans="2:24" x14ac:dyDescent="0.3">
      <c r="B390" s="139">
        <v>387</v>
      </c>
      <c r="C390" s="139">
        <v>746</v>
      </c>
      <c r="D390" s="139" t="s">
        <v>1212</v>
      </c>
      <c r="E390" s="151" t="s">
        <v>283</v>
      </c>
      <c r="F390" s="196" t="s">
        <v>1213</v>
      </c>
      <c r="G390" s="95" t="s">
        <v>458</v>
      </c>
      <c r="H390" s="139">
        <v>9</v>
      </c>
      <c r="I390" s="139">
        <v>1</v>
      </c>
      <c r="J390" s="139">
        <v>0.23649999999999999</v>
      </c>
      <c r="K390" s="139">
        <v>0.23649999999999999</v>
      </c>
      <c r="L390" s="95" t="s">
        <v>459</v>
      </c>
      <c r="M390" s="139">
        <v>1</v>
      </c>
      <c r="N390" s="139">
        <v>0.21</v>
      </c>
      <c r="O390" s="209">
        <v>4.2300000000000004</v>
      </c>
      <c r="P390" s="139">
        <v>20.059999999999999</v>
      </c>
      <c r="Q390" s="139">
        <v>4.2300000000000004</v>
      </c>
      <c r="R390" s="139">
        <v>4.2300000000000004</v>
      </c>
      <c r="S390" s="179">
        <f t="shared" si="12"/>
        <v>4.2283298097251585</v>
      </c>
      <c r="T390" s="179">
        <f t="shared" si="13"/>
        <v>1.6701902748419428E-3</v>
      </c>
      <c r="U390" s="179"/>
      <c r="V390" s="150" t="s">
        <v>460</v>
      </c>
      <c r="W390" s="139">
        <v>4</v>
      </c>
      <c r="X390" s="139">
        <v>4</v>
      </c>
    </row>
    <row r="391" spans="2:24" x14ac:dyDescent="0.3">
      <c r="B391" s="139">
        <v>388</v>
      </c>
      <c r="C391" s="139">
        <v>749</v>
      </c>
      <c r="D391" s="139" t="s">
        <v>1214</v>
      </c>
      <c r="E391" s="151" t="s">
        <v>283</v>
      </c>
      <c r="F391" s="196" t="s">
        <v>1215</v>
      </c>
      <c r="G391" s="95" t="s">
        <v>458</v>
      </c>
      <c r="H391" s="139">
        <v>9</v>
      </c>
      <c r="I391" s="139">
        <v>1</v>
      </c>
      <c r="J391" s="139">
        <v>0.23649999999999999</v>
      </c>
      <c r="K391" s="139">
        <v>0.23649999999999999</v>
      </c>
      <c r="L391" s="95" t="s">
        <v>459</v>
      </c>
      <c r="M391" s="139">
        <v>1</v>
      </c>
      <c r="N391" s="139">
        <v>0.21</v>
      </c>
      <c r="O391" s="209">
        <v>4.2300000000000004</v>
      </c>
      <c r="P391" s="139">
        <v>20.059999999999999</v>
      </c>
      <c r="Q391" s="139">
        <v>4.2300000000000004</v>
      </c>
      <c r="R391" s="139">
        <v>4.2300000000000004</v>
      </c>
      <c r="S391" s="179">
        <f t="shared" si="12"/>
        <v>4.2283298097251585</v>
      </c>
      <c r="T391" s="179">
        <f t="shared" si="13"/>
        <v>1.6701902748419428E-3</v>
      </c>
      <c r="U391" s="179"/>
      <c r="V391" s="150" t="s">
        <v>460</v>
      </c>
      <c r="W391" s="139">
        <v>4</v>
      </c>
      <c r="X391" s="139">
        <v>4</v>
      </c>
    </row>
    <row r="392" spans="2:24" x14ac:dyDescent="0.3">
      <c r="B392" s="139">
        <v>389</v>
      </c>
      <c r="C392" s="139">
        <v>750</v>
      </c>
      <c r="D392" s="139" t="s">
        <v>1216</v>
      </c>
      <c r="E392" s="151" t="s">
        <v>283</v>
      </c>
      <c r="F392" s="196" t="s">
        <v>1217</v>
      </c>
      <c r="G392" s="95" t="s">
        <v>458</v>
      </c>
      <c r="H392" s="139">
        <v>1</v>
      </c>
      <c r="I392" s="139">
        <v>1</v>
      </c>
      <c r="J392" s="139">
        <v>4.0399999999999998E-2</v>
      </c>
      <c r="K392" s="139">
        <v>4.0399999999999998E-2</v>
      </c>
      <c r="L392" s="95" t="s">
        <v>459</v>
      </c>
      <c r="M392" s="139">
        <v>2</v>
      </c>
      <c r="N392" s="139">
        <v>8.7899999999999991</v>
      </c>
      <c r="O392" s="209">
        <v>49.51</v>
      </c>
      <c r="P392" s="139">
        <v>155.85</v>
      </c>
      <c r="Q392" s="139">
        <v>35.01</v>
      </c>
      <c r="R392" s="139">
        <v>49.51</v>
      </c>
      <c r="S392" s="179">
        <f t="shared" si="12"/>
        <v>49.504950495049506</v>
      </c>
      <c r="T392" s="179">
        <f t="shared" si="13"/>
        <v>5.0495049504917233E-3</v>
      </c>
      <c r="U392" s="179"/>
      <c r="V392" s="150" t="s">
        <v>460</v>
      </c>
      <c r="W392" s="139">
        <v>6</v>
      </c>
      <c r="X392" s="139">
        <v>8</v>
      </c>
    </row>
    <row r="393" spans="2:24" x14ac:dyDescent="0.3">
      <c r="B393" s="139">
        <v>390</v>
      </c>
      <c r="C393" s="139">
        <v>753</v>
      </c>
      <c r="D393" s="139" t="s">
        <v>1218</v>
      </c>
      <c r="E393" s="151" t="s">
        <v>283</v>
      </c>
      <c r="F393" s="196" t="s">
        <v>1219</v>
      </c>
      <c r="G393" s="95" t="s">
        <v>458</v>
      </c>
      <c r="H393" s="139">
        <v>1</v>
      </c>
      <c r="I393" s="139">
        <v>1</v>
      </c>
      <c r="J393" s="139">
        <v>4.0399999999999998E-2</v>
      </c>
      <c r="K393" s="139">
        <v>4.0399999999999998E-2</v>
      </c>
      <c r="L393" s="95" t="s">
        <v>459</v>
      </c>
      <c r="M393" s="139">
        <v>2</v>
      </c>
      <c r="N393" s="139">
        <v>8.7899999999999991</v>
      </c>
      <c r="O393" s="209">
        <v>49.51</v>
      </c>
      <c r="P393" s="139">
        <v>155.85</v>
      </c>
      <c r="Q393" s="139">
        <v>35.01</v>
      </c>
      <c r="R393" s="139">
        <v>49.51</v>
      </c>
      <c r="S393" s="179">
        <f t="shared" si="12"/>
        <v>49.504950495049506</v>
      </c>
      <c r="T393" s="179">
        <f t="shared" si="13"/>
        <v>5.0495049504917233E-3</v>
      </c>
      <c r="U393" s="179"/>
      <c r="V393" s="150" t="s">
        <v>460</v>
      </c>
      <c r="W393" s="139">
        <v>6</v>
      </c>
      <c r="X393" s="139">
        <v>8</v>
      </c>
    </row>
    <row r="394" spans="2:24" x14ac:dyDescent="0.3">
      <c r="B394" s="139">
        <v>391</v>
      </c>
      <c r="C394" s="139">
        <v>754</v>
      </c>
      <c r="D394" s="139" t="s">
        <v>1220</v>
      </c>
      <c r="E394" s="151" t="s">
        <v>283</v>
      </c>
      <c r="F394" s="196" t="s">
        <v>1221</v>
      </c>
      <c r="G394" s="95" t="s">
        <v>458</v>
      </c>
      <c r="H394" s="139">
        <v>26</v>
      </c>
      <c r="I394" s="139">
        <v>3</v>
      </c>
      <c r="J394" s="139">
        <v>0.7581</v>
      </c>
      <c r="K394" s="139">
        <v>0.75739999999999996</v>
      </c>
      <c r="L394" s="95" t="s">
        <v>459</v>
      </c>
      <c r="M394" s="139">
        <v>6</v>
      </c>
      <c r="N394" s="139">
        <v>1.75</v>
      </c>
      <c r="O394" s="209">
        <v>7.33</v>
      </c>
      <c r="P394" s="139">
        <v>16.07</v>
      </c>
      <c r="Q394" s="139">
        <v>4.5599999999999996</v>
      </c>
      <c r="R394" s="139">
        <v>7.92</v>
      </c>
      <c r="S394" s="179">
        <f t="shared" si="12"/>
        <v>7.921837866385002</v>
      </c>
      <c r="T394" s="179">
        <f t="shared" si="13"/>
        <v>1.8378663850020516E-3</v>
      </c>
      <c r="U394" s="179"/>
      <c r="V394" s="150" t="s">
        <v>460</v>
      </c>
      <c r="W394" s="139">
        <v>3.4</v>
      </c>
      <c r="X394" s="139">
        <v>4</v>
      </c>
    </row>
    <row r="395" spans="2:24" x14ac:dyDescent="0.3">
      <c r="B395" s="139">
        <v>392</v>
      </c>
      <c r="C395" s="139">
        <v>757</v>
      </c>
      <c r="D395" s="139" t="s">
        <v>1222</v>
      </c>
      <c r="E395" s="151" t="s">
        <v>283</v>
      </c>
      <c r="F395" s="196" t="s">
        <v>1223</v>
      </c>
      <c r="G395" s="95" t="s">
        <v>458</v>
      </c>
      <c r="H395" s="139">
        <v>6</v>
      </c>
      <c r="I395" s="139">
        <v>1</v>
      </c>
      <c r="J395" s="139">
        <v>0.24249999999999999</v>
      </c>
      <c r="K395" s="139">
        <v>0.2424</v>
      </c>
      <c r="L395" s="95" t="s">
        <v>459</v>
      </c>
      <c r="M395" s="139">
        <v>0</v>
      </c>
      <c r="N395" s="210">
        <v>6.0000000000000001E-3</v>
      </c>
      <c r="O395" s="209">
        <v>1.61</v>
      </c>
      <c r="P395" s="139">
        <v>6.18</v>
      </c>
      <c r="Q395" s="139">
        <v>2.2799999999999998</v>
      </c>
      <c r="R395" s="150">
        <v>0</v>
      </c>
      <c r="S395" s="179">
        <f t="shared" si="12"/>
        <v>0</v>
      </c>
      <c r="T395" s="179">
        <f t="shared" si="13"/>
        <v>0</v>
      </c>
      <c r="U395" s="179"/>
      <c r="V395" s="150" t="s">
        <v>460</v>
      </c>
      <c r="W395" s="150" t="s">
        <v>460</v>
      </c>
      <c r="X395" s="150" t="s">
        <v>460</v>
      </c>
    </row>
    <row r="396" spans="2:24" x14ac:dyDescent="0.3">
      <c r="B396" s="139">
        <v>393</v>
      </c>
      <c r="C396" s="139">
        <v>758</v>
      </c>
      <c r="D396" s="139" t="s">
        <v>1224</v>
      </c>
      <c r="E396" s="151" t="s">
        <v>283</v>
      </c>
      <c r="F396" s="196" t="s">
        <v>1225</v>
      </c>
      <c r="G396" s="95" t="s">
        <v>458</v>
      </c>
      <c r="H396" s="139">
        <v>1</v>
      </c>
      <c r="I396" s="139">
        <v>1</v>
      </c>
      <c r="J396" s="139">
        <v>1.7500000000000002E-2</v>
      </c>
      <c r="K396" s="139">
        <v>1.7500000000000002E-2</v>
      </c>
      <c r="L396" s="95" t="s">
        <v>459</v>
      </c>
      <c r="M396" s="139">
        <v>1</v>
      </c>
      <c r="N396" s="139">
        <v>2.85</v>
      </c>
      <c r="O396" s="209">
        <v>57.08</v>
      </c>
      <c r="P396" s="139">
        <v>270.83</v>
      </c>
      <c r="Q396" s="139">
        <v>57.08</v>
      </c>
      <c r="R396" s="139">
        <v>57.08</v>
      </c>
      <c r="S396" s="179">
        <f t="shared" si="12"/>
        <v>57.142857142857139</v>
      </c>
      <c r="T396" s="179">
        <f t="shared" si="13"/>
        <v>6.2857142857140502E-2</v>
      </c>
      <c r="U396" s="179"/>
      <c r="V396" s="150" t="s">
        <v>460</v>
      </c>
      <c r="W396" s="150" t="s">
        <v>460</v>
      </c>
      <c r="X396" s="150" t="s">
        <v>460</v>
      </c>
    </row>
    <row r="397" spans="2:24" x14ac:dyDescent="0.3">
      <c r="B397" s="139">
        <v>394</v>
      </c>
      <c r="C397" s="139">
        <v>759</v>
      </c>
      <c r="D397" s="139" t="s">
        <v>1226</v>
      </c>
      <c r="E397" s="151" t="s">
        <v>283</v>
      </c>
      <c r="F397" s="196" t="s">
        <v>1227</v>
      </c>
      <c r="G397" s="95" t="s">
        <v>458</v>
      </c>
      <c r="H397" s="139">
        <v>2</v>
      </c>
      <c r="I397" s="139">
        <v>2</v>
      </c>
      <c r="J397" s="139">
        <v>3.5099999999999999E-2</v>
      </c>
      <c r="K397" s="139">
        <v>3.5000000000000003E-2</v>
      </c>
      <c r="L397" s="95" t="s">
        <v>459</v>
      </c>
      <c r="M397" s="139">
        <v>0</v>
      </c>
      <c r="N397" s="139">
        <v>0.02</v>
      </c>
      <c r="O397" s="209">
        <v>4.84</v>
      </c>
      <c r="P397" s="139">
        <v>18.600000000000001</v>
      </c>
      <c r="Q397" s="139">
        <v>6.85</v>
      </c>
      <c r="R397" s="150">
        <v>0</v>
      </c>
      <c r="S397" s="179">
        <f t="shared" si="12"/>
        <v>0</v>
      </c>
      <c r="T397" s="179">
        <f t="shared" si="13"/>
        <v>0</v>
      </c>
      <c r="U397" s="179"/>
      <c r="V397" s="150" t="s">
        <v>460</v>
      </c>
      <c r="W397" s="150" t="s">
        <v>460</v>
      </c>
      <c r="X397" s="150" t="s">
        <v>460</v>
      </c>
    </row>
    <row r="398" spans="2:24" x14ac:dyDescent="0.3">
      <c r="B398" s="139">
        <v>395</v>
      </c>
      <c r="C398" s="139">
        <v>760</v>
      </c>
      <c r="D398" s="139" t="s">
        <v>1228</v>
      </c>
      <c r="E398" s="151" t="s">
        <v>283</v>
      </c>
      <c r="F398" s="196" t="s">
        <v>1229</v>
      </c>
      <c r="G398" s="95" t="s">
        <v>458</v>
      </c>
      <c r="H398" s="139">
        <v>1</v>
      </c>
      <c r="I398" s="139">
        <v>1</v>
      </c>
      <c r="J398" s="139">
        <v>4.0399999999999998E-2</v>
      </c>
      <c r="K398" s="139">
        <v>4.0399999999999998E-2</v>
      </c>
      <c r="L398" s="95" t="s">
        <v>459</v>
      </c>
      <c r="M398" s="139">
        <v>0</v>
      </c>
      <c r="N398" s="139">
        <v>0.02</v>
      </c>
      <c r="O398" s="209">
        <v>4.6100000000000003</v>
      </c>
      <c r="P398" s="139">
        <v>17.68</v>
      </c>
      <c r="Q398" s="139">
        <v>6.51</v>
      </c>
      <c r="R398" s="150">
        <v>0</v>
      </c>
      <c r="S398" s="179">
        <f t="shared" si="12"/>
        <v>0</v>
      </c>
      <c r="T398" s="179">
        <f t="shared" si="13"/>
        <v>0</v>
      </c>
      <c r="U398" s="179"/>
      <c r="V398" s="150" t="s">
        <v>460</v>
      </c>
      <c r="W398" s="150" t="s">
        <v>460</v>
      </c>
      <c r="X398" s="150" t="s">
        <v>460</v>
      </c>
    </row>
    <row r="399" spans="2:24" x14ac:dyDescent="0.3">
      <c r="B399" s="139">
        <v>396</v>
      </c>
      <c r="C399" s="139">
        <v>761</v>
      </c>
      <c r="D399" s="139" t="s">
        <v>1230</v>
      </c>
      <c r="E399" s="151" t="s">
        <v>283</v>
      </c>
      <c r="F399" s="196" t="s">
        <v>1231</v>
      </c>
      <c r="G399" s="95" t="s">
        <v>458</v>
      </c>
      <c r="H399" s="139">
        <v>2</v>
      </c>
      <c r="I399" s="139">
        <v>1</v>
      </c>
      <c r="J399" s="139">
        <v>8.0799999999999997E-2</v>
      </c>
      <c r="K399" s="139">
        <v>8.0799999999999997E-2</v>
      </c>
      <c r="L399" s="95" t="s">
        <v>459</v>
      </c>
      <c r="M399" s="139">
        <v>0</v>
      </c>
      <c r="N399" s="139">
        <v>0.01</v>
      </c>
      <c r="O399" s="209">
        <v>3.36</v>
      </c>
      <c r="P399" s="139">
        <v>12.89</v>
      </c>
      <c r="Q399" s="139">
        <v>4.75</v>
      </c>
      <c r="R399" s="150">
        <v>0</v>
      </c>
      <c r="S399" s="179">
        <f t="shared" si="12"/>
        <v>0</v>
      </c>
      <c r="T399" s="179">
        <f t="shared" si="13"/>
        <v>0</v>
      </c>
      <c r="U399" s="179"/>
      <c r="V399" s="150" t="s">
        <v>460</v>
      </c>
      <c r="W399" s="150" t="s">
        <v>460</v>
      </c>
      <c r="X399" s="150" t="s">
        <v>460</v>
      </c>
    </row>
    <row r="400" spans="2:24" x14ac:dyDescent="0.3">
      <c r="B400" s="139">
        <v>397</v>
      </c>
      <c r="C400" s="139">
        <v>762</v>
      </c>
      <c r="D400" s="139" t="s">
        <v>1232</v>
      </c>
      <c r="E400" s="151" t="s">
        <v>283</v>
      </c>
      <c r="F400" s="196" t="s">
        <v>1233</v>
      </c>
      <c r="G400" s="95" t="s">
        <v>458</v>
      </c>
      <c r="H400" s="139">
        <v>1</v>
      </c>
      <c r="I400" s="139">
        <v>1</v>
      </c>
      <c r="J400" s="139">
        <v>4.0399999999999998E-2</v>
      </c>
      <c r="K400" s="139">
        <v>4.0399999999999998E-2</v>
      </c>
      <c r="L400" s="95" t="s">
        <v>459</v>
      </c>
      <c r="M400" s="139">
        <v>0</v>
      </c>
      <c r="N400" s="139">
        <v>0.02</v>
      </c>
      <c r="O400" s="209">
        <v>4.6100000000000003</v>
      </c>
      <c r="P400" s="139">
        <v>17.68</v>
      </c>
      <c r="Q400" s="139">
        <v>6.51</v>
      </c>
      <c r="R400" s="150">
        <v>0</v>
      </c>
      <c r="S400" s="179">
        <f t="shared" si="12"/>
        <v>0</v>
      </c>
      <c r="T400" s="179">
        <f t="shared" si="13"/>
        <v>0</v>
      </c>
      <c r="U400" s="179"/>
      <c r="V400" s="150" t="s">
        <v>460</v>
      </c>
      <c r="W400" s="150" t="s">
        <v>460</v>
      </c>
      <c r="X400" s="150" t="s">
        <v>460</v>
      </c>
    </row>
    <row r="401" spans="2:24" x14ac:dyDescent="0.3">
      <c r="B401" s="139">
        <v>398</v>
      </c>
      <c r="C401" s="139">
        <v>763</v>
      </c>
      <c r="D401" s="139" t="s">
        <v>1234</v>
      </c>
      <c r="E401" s="151" t="s">
        <v>283</v>
      </c>
      <c r="F401" s="196" t="s">
        <v>1235</v>
      </c>
      <c r="G401" s="95" t="s">
        <v>458</v>
      </c>
      <c r="H401" s="139">
        <v>2</v>
      </c>
      <c r="I401" s="139">
        <v>1</v>
      </c>
      <c r="J401" s="139">
        <v>8.0799999999999997E-2</v>
      </c>
      <c r="K401" s="139">
        <v>8.0799999999999997E-2</v>
      </c>
      <c r="L401" s="95" t="s">
        <v>459</v>
      </c>
      <c r="M401" s="139">
        <v>0</v>
      </c>
      <c r="N401" s="139">
        <v>0.01</v>
      </c>
      <c r="O401" s="209">
        <v>3.36</v>
      </c>
      <c r="P401" s="139">
        <v>12.89</v>
      </c>
      <c r="Q401" s="139">
        <v>4.75</v>
      </c>
      <c r="R401" s="150">
        <v>0</v>
      </c>
      <c r="S401" s="179">
        <f t="shared" si="12"/>
        <v>0</v>
      </c>
      <c r="T401" s="179">
        <f t="shared" si="13"/>
        <v>0</v>
      </c>
      <c r="U401" s="179"/>
      <c r="V401" s="150" t="s">
        <v>460</v>
      </c>
      <c r="W401" s="150" t="s">
        <v>460</v>
      </c>
      <c r="X401" s="150" t="s">
        <v>460</v>
      </c>
    </row>
    <row r="402" spans="2:24" x14ac:dyDescent="0.3">
      <c r="B402" s="139">
        <v>399</v>
      </c>
      <c r="C402" s="139">
        <v>764</v>
      </c>
      <c r="D402" s="139" t="s">
        <v>1236</v>
      </c>
      <c r="E402" s="151" t="s">
        <v>283</v>
      </c>
      <c r="F402" s="196" t="s">
        <v>1237</v>
      </c>
      <c r="G402" s="95" t="s">
        <v>458</v>
      </c>
      <c r="H402" s="139">
        <v>4</v>
      </c>
      <c r="I402" s="139">
        <v>2</v>
      </c>
      <c r="J402" s="139">
        <v>9.7600000000000006E-2</v>
      </c>
      <c r="K402" s="139">
        <v>9.7500000000000003E-2</v>
      </c>
      <c r="L402" s="95" t="s">
        <v>459</v>
      </c>
      <c r="M402" s="139">
        <v>5</v>
      </c>
      <c r="N402" s="139">
        <v>16.38</v>
      </c>
      <c r="O402" s="209">
        <v>46.71</v>
      </c>
      <c r="P402" s="139">
        <v>89.66</v>
      </c>
      <c r="Q402" s="139">
        <v>22.93</v>
      </c>
      <c r="R402" s="139">
        <v>51.26</v>
      </c>
      <c r="S402" s="179">
        <f t="shared" si="12"/>
        <v>51.282051282051277</v>
      </c>
      <c r="T402" s="179">
        <f t="shared" si="13"/>
        <v>2.2051282051279486E-2</v>
      </c>
      <c r="U402" s="179"/>
      <c r="V402" s="150" t="s">
        <v>460</v>
      </c>
      <c r="W402" s="139">
        <v>3.1</v>
      </c>
      <c r="X402" s="139">
        <v>4</v>
      </c>
    </row>
    <row r="403" spans="2:24" x14ac:dyDescent="0.3">
      <c r="B403" s="139">
        <v>400</v>
      </c>
      <c r="C403" s="139">
        <v>765</v>
      </c>
      <c r="D403" s="139" t="s">
        <v>1238</v>
      </c>
      <c r="E403" s="151" t="s">
        <v>283</v>
      </c>
      <c r="F403" s="196" t="s">
        <v>1239</v>
      </c>
      <c r="G403" s="95" t="s">
        <v>458</v>
      </c>
      <c r="H403" s="139">
        <v>7</v>
      </c>
      <c r="I403" s="139">
        <v>1</v>
      </c>
      <c r="J403" s="139">
        <v>0.12280000000000001</v>
      </c>
      <c r="K403" s="139">
        <v>0.1226</v>
      </c>
      <c r="L403" s="95" t="s">
        <v>459</v>
      </c>
      <c r="M403" s="139">
        <v>0</v>
      </c>
      <c r="N403" s="139">
        <v>0.01</v>
      </c>
      <c r="O403" s="209">
        <v>2.62</v>
      </c>
      <c r="P403" s="139">
        <v>10.06</v>
      </c>
      <c r="Q403" s="139">
        <v>3.71</v>
      </c>
      <c r="R403" s="150">
        <v>0</v>
      </c>
      <c r="S403" s="179">
        <f t="shared" si="12"/>
        <v>0</v>
      </c>
      <c r="T403" s="179">
        <f t="shared" si="13"/>
        <v>0</v>
      </c>
      <c r="U403" s="179"/>
      <c r="V403" s="150" t="s">
        <v>460</v>
      </c>
      <c r="W403" s="150" t="s">
        <v>460</v>
      </c>
      <c r="X403" s="150" t="s">
        <v>460</v>
      </c>
    </row>
    <row r="404" spans="2:24" x14ac:dyDescent="0.3">
      <c r="B404" s="139">
        <v>401</v>
      </c>
      <c r="C404" s="139">
        <v>766</v>
      </c>
      <c r="D404" s="139" t="s">
        <v>1240</v>
      </c>
      <c r="E404" s="151" t="s">
        <v>283</v>
      </c>
      <c r="F404" s="196" t="s">
        <v>1241</v>
      </c>
      <c r="G404" s="95" t="s">
        <v>458</v>
      </c>
      <c r="H404" s="139">
        <v>24</v>
      </c>
      <c r="I404" s="139">
        <v>1</v>
      </c>
      <c r="J404" s="139">
        <v>0.94389999999999996</v>
      </c>
      <c r="K404" s="139">
        <v>0.88859999999999995</v>
      </c>
      <c r="L404" s="95" t="s">
        <v>459</v>
      </c>
      <c r="M404" s="139">
        <v>2</v>
      </c>
      <c r="N404" s="139">
        <v>0.4</v>
      </c>
      <c r="O404" s="209">
        <v>2.25</v>
      </c>
      <c r="P404" s="139">
        <v>7.08</v>
      </c>
      <c r="Q404" s="139">
        <v>1.59</v>
      </c>
      <c r="R404" s="139">
        <v>2.25</v>
      </c>
      <c r="S404" s="179">
        <f t="shared" si="12"/>
        <v>2.2507314877335136</v>
      </c>
      <c r="T404" s="179">
        <f t="shared" si="13"/>
        <v>7.3148773351361385E-4</v>
      </c>
      <c r="U404" s="179"/>
      <c r="V404" s="150" t="s">
        <v>460</v>
      </c>
      <c r="W404" s="139">
        <v>6</v>
      </c>
      <c r="X404" s="139">
        <v>8</v>
      </c>
    </row>
    <row r="405" spans="2:24" x14ac:dyDescent="0.3">
      <c r="B405" s="139">
        <v>402</v>
      </c>
      <c r="C405" s="139">
        <v>769</v>
      </c>
      <c r="D405" s="139" t="s">
        <v>1242</v>
      </c>
      <c r="E405" s="151" t="s">
        <v>283</v>
      </c>
      <c r="F405" s="196" t="s">
        <v>1243</v>
      </c>
      <c r="G405" s="95" t="s">
        <v>458</v>
      </c>
      <c r="H405" s="139">
        <v>2</v>
      </c>
      <c r="I405" s="139">
        <v>1</v>
      </c>
      <c r="J405" s="139">
        <v>8.0799999999999997E-2</v>
      </c>
      <c r="K405" s="139">
        <v>8.0799999999999997E-2</v>
      </c>
      <c r="L405" s="95" t="s">
        <v>459</v>
      </c>
      <c r="M405" s="139">
        <v>0</v>
      </c>
      <c r="N405" s="210">
        <v>6.0000000000000001E-3</v>
      </c>
      <c r="O405" s="209">
        <v>1.65</v>
      </c>
      <c r="P405" s="139">
        <v>6.34</v>
      </c>
      <c r="Q405" s="139">
        <v>2.33</v>
      </c>
      <c r="R405" s="150">
        <v>0</v>
      </c>
      <c r="S405" s="179">
        <f t="shared" si="12"/>
        <v>0</v>
      </c>
      <c r="T405" s="179">
        <f t="shared" si="13"/>
        <v>0</v>
      </c>
      <c r="U405" s="179"/>
      <c r="V405" s="150" t="s">
        <v>460</v>
      </c>
      <c r="W405" s="150" t="s">
        <v>460</v>
      </c>
      <c r="X405" s="150" t="s">
        <v>460</v>
      </c>
    </row>
    <row r="406" spans="2:24" x14ac:dyDescent="0.3">
      <c r="B406" s="139">
        <v>403</v>
      </c>
      <c r="C406" s="139">
        <v>770</v>
      </c>
      <c r="D406" s="139" t="s">
        <v>1244</v>
      </c>
      <c r="E406" s="151" t="s">
        <v>283</v>
      </c>
      <c r="F406" s="196" t="s">
        <v>1245</v>
      </c>
      <c r="G406" s="95" t="s">
        <v>458</v>
      </c>
      <c r="H406" s="139">
        <v>2</v>
      </c>
      <c r="I406" s="139">
        <v>1</v>
      </c>
      <c r="J406" s="139">
        <v>8.0799999999999997E-2</v>
      </c>
      <c r="K406" s="139">
        <v>8.0799999999999997E-2</v>
      </c>
      <c r="L406" s="95" t="s">
        <v>459</v>
      </c>
      <c r="M406" s="139">
        <v>0</v>
      </c>
      <c r="N406" s="210">
        <v>6.0000000000000001E-3</v>
      </c>
      <c r="O406" s="209">
        <v>1.65</v>
      </c>
      <c r="P406" s="139">
        <v>6.34</v>
      </c>
      <c r="Q406" s="139">
        <v>2.33</v>
      </c>
      <c r="R406" s="150">
        <v>0</v>
      </c>
      <c r="S406" s="179">
        <f t="shared" si="12"/>
        <v>0</v>
      </c>
      <c r="T406" s="179">
        <f t="shared" si="13"/>
        <v>0</v>
      </c>
      <c r="U406" s="179"/>
      <c r="V406" s="150" t="s">
        <v>460</v>
      </c>
      <c r="W406" s="150" t="s">
        <v>460</v>
      </c>
      <c r="X406" s="150" t="s">
        <v>460</v>
      </c>
    </row>
    <row r="407" spans="2:24" x14ac:dyDescent="0.3">
      <c r="B407" s="139">
        <v>404</v>
      </c>
      <c r="C407" s="139">
        <v>771</v>
      </c>
      <c r="D407" s="139" t="s">
        <v>1246</v>
      </c>
      <c r="E407" s="151" t="s">
        <v>283</v>
      </c>
      <c r="F407" s="196" t="s">
        <v>1247</v>
      </c>
      <c r="G407" s="95" t="s">
        <v>458</v>
      </c>
      <c r="H407" s="139">
        <v>2</v>
      </c>
      <c r="I407" s="139">
        <v>1</v>
      </c>
      <c r="J407" s="139">
        <v>8.0799999999999997E-2</v>
      </c>
      <c r="K407" s="139">
        <v>8.0799999999999997E-2</v>
      </c>
      <c r="L407" s="95" t="s">
        <v>459</v>
      </c>
      <c r="M407" s="139">
        <v>0</v>
      </c>
      <c r="N407" s="210">
        <v>6.0000000000000001E-3</v>
      </c>
      <c r="O407" s="209">
        <v>1.65</v>
      </c>
      <c r="P407" s="139">
        <v>6.34</v>
      </c>
      <c r="Q407" s="139">
        <v>2.33</v>
      </c>
      <c r="R407" s="150">
        <v>0</v>
      </c>
      <c r="S407" s="179">
        <f t="shared" si="12"/>
        <v>0</v>
      </c>
      <c r="T407" s="179">
        <f t="shared" si="13"/>
        <v>0</v>
      </c>
      <c r="U407" s="179"/>
      <c r="V407" s="150" t="s">
        <v>460</v>
      </c>
      <c r="W407" s="150" t="s">
        <v>460</v>
      </c>
      <c r="X407" s="150" t="s">
        <v>460</v>
      </c>
    </row>
    <row r="408" spans="2:24" x14ac:dyDescent="0.3">
      <c r="B408" s="139">
        <v>405</v>
      </c>
      <c r="C408" s="139">
        <v>772</v>
      </c>
      <c r="D408" s="139" t="s">
        <v>1248</v>
      </c>
      <c r="E408" s="151" t="s">
        <v>283</v>
      </c>
      <c r="F408" s="196" t="s">
        <v>1249</v>
      </c>
      <c r="G408" s="95" t="s">
        <v>458</v>
      </c>
      <c r="H408" s="139">
        <v>4</v>
      </c>
      <c r="I408" s="139">
        <v>1</v>
      </c>
      <c r="J408" s="139">
        <v>0.16170000000000001</v>
      </c>
      <c r="K408" s="139">
        <v>0.16159999999999999</v>
      </c>
      <c r="L408" s="95" t="s">
        <v>459</v>
      </c>
      <c r="M408" s="139">
        <v>1</v>
      </c>
      <c r="N408" s="139">
        <v>0.31</v>
      </c>
      <c r="O408" s="209">
        <v>6.19</v>
      </c>
      <c r="P408" s="139">
        <v>29.37</v>
      </c>
      <c r="Q408" s="139">
        <v>6.19</v>
      </c>
      <c r="R408" s="139">
        <v>6.19</v>
      </c>
      <c r="S408" s="179">
        <f t="shared" si="12"/>
        <v>6.1881188118811883</v>
      </c>
      <c r="T408" s="179">
        <f t="shared" si="13"/>
        <v>1.8811881188121049E-3</v>
      </c>
      <c r="U408" s="179"/>
      <c r="V408" s="150" t="s">
        <v>460</v>
      </c>
      <c r="W408" s="139">
        <v>4</v>
      </c>
      <c r="X408" s="139">
        <v>4</v>
      </c>
    </row>
    <row r="409" spans="2:24" x14ac:dyDescent="0.3">
      <c r="B409" s="139">
        <v>406</v>
      </c>
      <c r="C409" s="139">
        <v>773</v>
      </c>
      <c r="D409" s="139" t="s">
        <v>1250</v>
      </c>
      <c r="E409" s="151" t="s">
        <v>283</v>
      </c>
      <c r="F409" s="196" t="s">
        <v>1251</v>
      </c>
      <c r="G409" s="95" t="s">
        <v>458</v>
      </c>
      <c r="H409" s="139">
        <v>6</v>
      </c>
      <c r="I409" s="139">
        <v>1</v>
      </c>
      <c r="J409" s="139">
        <v>0.24249999999999999</v>
      </c>
      <c r="K409" s="139">
        <v>0.2424</v>
      </c>
      <c r="L409" s="95" t="s">
        <v>459</v>
      </c>
      <c r="M409" s="139">
        <v>0</v>
      </c>
      <c r="N409" s="210">
        <v>4.0000000000000001E-3</v>
      </c>
      <c r="O409" s="209">
        <v>1.08</v>
      </c>
      <c r="P409" s="139">
        <v>4.13</v>
      </c>
      <c r="Q409" s="139">
        <v>1.52</v>
      </c>
      <c r="R409" s="150">
        <v>0</v>
      </c>
      <c r="S409" s="179">
        <f t="shared" si="12"/>
        <v>0</v>
      </c>
      <c r="T409" s="179">
        <f t="shared" si="13"/>
        <v>0</v>
      </c>
      <c r="U409" s="179"/>
      <c r="V409" s="150" t="s">
        <v>460</v>
      </c>
      <c r="W409" s="150" t="s">
        <v>460</v>
      </c>
      <c r="X409" s="150" t="s">
        <v>460</v>
      </c>
    </row>
    <row r="410" spans="2:24" x14ac:dyDescent="0.3">
      <c r="B410" s="139">
        <v>407</v>
      </c>
      <c r="C410" s="139">
        <v>774</v>
      </c>
      <c r="D410" s="139" t="s">
        <v>1252</v>
      </c>
      <c r="E410" s="151" t="s">
        <v>283</v>
      </c>
      <c r="F410" s="196" t="s">
        <v>1253</v>
      </c>
      <c r="G410" s="95" t="s">
        <v>458</v>
      </c>
      <c r="H410" s="139">
        <v>3</v>
      </c>
      <c r="I410" s="139">
        <v>1</v>
      </c>
      <c r="J410" s="139">
        <v>0.1409</v>
      </c>
      <c r="K410" s="139">
        <v>0.1212</v>
      </c>
      <c r="L410" s="95" t="s">
        <v>459</v>
      </c>
      <c r="M410" s="139">
        <v>0</v>
      </c>
      <c r="N410" s="210">
        <v>6.0000000000000001E-3</v>
      </c>
      <c r="O410" s="209">
        <v>1.46</v>
      </c>
      <c r="P410" s="139">
        <v>5.59</v>
      </c>
      <c r="Q410" s="139">
        <v>2.06</v>
      </c>
      <c r="R410" s="150">
        <v>0</v>
      </c>
      <c r="S410" s="179">
        <f t="shared" si="12"/>
        <v>0</v>
      </c>
      <c r="T410" s="179">
        <f t="shared" si="13"/>
        <v>0</v>
      </c>
      <c r="U410" s="179"/>
      <c r="V410" s="150" t="s">
        <v>460</v>
      </c>
      <c r="W410" s="150" t="s">
        <v>460</v>
      </c>
      <c r="X410" s="150" t="s">
        <v>460</v>
      </c>
    </row>
    <row r="411" spans="2:24" x14ac:dyDescent="0.3">
      <c r="B411" s="139">
        <v>408</v>
      </c>
      <c r="C411" s="139">
        <v>775</v>
      </c>
      <c r="D411" s="139" t="s">
        <v>1254</v>
      </c>
      <c r="E411" s="151" t="s">
        <v>283</v>
      </c>
      <c r="F411" s="196" t="s">
        <v>1255</v>
      </c>
      <c r="G411" s="95" t="s">
        <v>458</v>
      </c>
      <c r="H411" s="139">
        <v>5</v>
      </c>
      <c r="I411" s="139">
        <v>1</v>
      </c>
      <c r="J411" s="139">
        <v>0.15629999999999999</v>
      </c>
      <c r="K411" s="139">
        <v>0.1211</v>
      </c>
      <c r="L411" s="95" t="s">
        <v>459</v>
      </c>
      <c r="M411" s="139">
        <v>1</v>
      </c>
      <c r="N411" s="139">
        <v>0.41</v>
      </c>
      <c r="O411" s="209">
        <v>8.26</v>
      </c>
      <c r="P411" s="139">
        <v>39.17</v>
      </c>
      <c r="Q411" s="139">
        <v>8.26</v>
      </c>
      <c r="R411" s="139">
        <v>8.26</v>
      </c>
      <c r="S411" s="179">
        <f t="shared" si="12"/>
        <v>8.257638315441783</v>
      </c>
      <c r="T411" s="179">
        <f t="shared" si="13"/>
        <v>2.3616845582168366E-3</v>
      </c>
      <c r="U411" s="179"/>
      <c r="V411" s="150" t="s">
        <v>460</v>
      </c>
      <c r="W411" s="139">
        <v>8</v>
      </c>
      <c r="X411" s="139">
        <v>8</v>
      </c>
    </row>
    <row r="412" spans="2:24" x14ac:dyDescent="0.3">
      <c r="B412" s="139">
        <v>409</v>
      </c>
      <c r="C412" s="139">
        <v>776</v>
      </c>
      <c r="D412" s="139" t="s">
        <v>1256</v>
      </c>
      <c r="E412" s="151" t="s">
        <v>283</v>
      </c>
      <c r="F412" s="196" t="s">
        <v>1257</v>
      </c>
      <c r="G412" s="95" t="s">
        <v>458</v>
      </c>
      <c r="H412" s="139">
        <v>74</v>
      </c>
      <c r="I412" s="139">
        <v>6</v>
      </c>
      <c r="J412" s="139">
        <v>1.2677</v>
      </c>
      <c r="K412" s="139">
        <v>1.2721</v>
      </c>
      <c r="L412" s="95" t="s">
        <v>459</v>
      </c>
      <c r="M412" s="139">
        <v>3</v>
      </c>
      <c r="N412" s="139">
        <v>0.75</v>
      </c>
      <c r="O412" s="209">
        <v>2.8</v>
      </c>
      <c r="P412" s="139">
        <v>5.94</v>
      </c>
      <c r="Q412" s="139">
        <v>1.65</v>
      </c>
      <c r="R412" s="139">
        <v>2.36</v>
      </c>
      <c r="S412" s="179">
        <f t="shared" si="12"/>
        <v>2.3583051646883106</v>
      </c>
      <c r="T412" s="179">
        <f t="shared" si="13"/>
        <v>1.6948353116892356E-3</v>
      </c>
      <c r="U412" s="179"/>
      <c r="V412" s="150" t="s">
        <v>460</v>
      </c>
      <c r="W412" s="139">
        <v>4</v>
      </c>
      <c r="X412" s="139">
        <v>4</v>
      </c>
    </row>
    <row r="413" spans="2:24" x14ac:dyDescent="0.3">
      <c r="B413" s="139">
        <v>410</v>
      </c>
      <c r="C413" s="139">
        <v>779</v>
      </c>
      <c r="D413" s="139" t="s">
        <v>1258</v>
      </c>
      <c r="E413" s="151" t="s">
        <v>283</v>
      </c>
      <c r="F413" s="196" t="s">
        <v>1259</v>
      </c>
      <c r="G413" s="95" t="s">
        <v>458</v>
      </c>
      <c r="H413" s="139">
        <v>2</v>
      </c>
      <c r="I413" s="139">
        <v>1</v>
      </c>
      <c r="J413" s="139">
        <v>3.5099999999999999E-2</v>
      </c>
      <c r="K413" s="139">
        <v>3.5038542396636299E-2</v>
      </c>
      <c r="L413" s="95" t="s">
        <v>459</v>
      </c>
      <c r="M413" s="139">
        <v>1</v>
      </c>
      <c r="N413" s="139">
        <v>1.43</v>
      </c>
      <c r="O413" s="209">
        <v>28.54</v>
      </c>
      <c r="P413" s="139">
        <v>135.41999999999999</v>
      </c>
      <c r="Q413" s="139">
        <v>28.54</v>
      </c>
      <c r="R413" s="139">
        <v>28.54</v>
      </c>
      <c r="S413" s="179">
        <f t="shared" si="12"/>
        <v>28.54</v>
      </c>
      <c r="T413" s="179">
        <f>ABS(R413-S413)</f>
        <v>0</v>
      </c>
      <c r="U413" s="215">
        <f>M413/R413</f>
        <v>3.5038542396636299E-2</v>
      </c>
      <c r="V413" s="150" t="s">
        <v>460</v>
      </c>
      <c r="W413" s="150" t="s">
        <v>460</v>
      </c>
      <c r="X413" s="150" t="s">
        <v>460</v>
      </c>
    </row>
    <row r="414" spans="2:24" x14ac:dyDescent="0.3">
      <c r="B414" s="139">
        <v>411</v>
      </c>
      <c r="C414" s="139">
        <v>780</v>
      </c>
      <c r="D414" s="139" t="s">
        <v>1260</v>
      </c>
      <c r="E414" s="151" t="s">
        <v>283</v>
      </c>
      <c r="F414" s="196" t="s">
        <v>1261</v>
      </c>
      <c r="G414" s="95" t="s">
        <v>458</v>
      </c>
      <c r="H414" s="139">
        <v>2</v>
      </c>
      <c r="I414" s="139">
        <v>1</v>
      </c>
      <c r="J414" s="139">
        <v>3.5099999999999999E-2</v>
      </c>
      <c r="K414" s="139">
        <v>0.35</v>
      </c>
      <c r="L414" s="95" t="s">
        <v>459</v>
      </c>
      <c r="M414" s="139">
        <v>0</v>
      </c>
      <c r="N414" s="139">
        <v>0.01</v>
      </c>
      <c r="O414" s="209">
        <v>2.34</v>
      </c>
      <c r="P414" s="139">
        <v>9</v>
      </c>
      <c r="Q414" s="139">
        <v>3.31</v>
      </c>
      <c r="R414" s="150">
        <v>0</v>
      </c>
      <c r="S414" s="179">
        <f t="shared" si="12"/>
        <v>0</v>
      </c>
      <c r="T414" s="179">
        <f t="shared" si="13"/>
        <v>0</v>
      </c>
      <c r="U414" s="179"/>
      <c r="V414" s="150" t="s">
        <v>460</v>
      </c>
      <c r="W414" s="150" t="s">
        <v>460</v>
      </c>
      <c r="X414" s="150" t="s">
        <v>460</v>
      </c>
    </row>
    <row r="415" spans="2:24" x14ac:dyDescent="0.3">
      <c r="B415" s="139">
        <v>412</v>
      </c>
      <c r="C415" s="139">
        <v>781</v>
      </c>
      <c r="D415" s="139" t="s">
        <v>1262</v>
      </c>
      <c r="E415" s="151" t="s">
        <v>283</v>
      </c>
      <c r="F415" s="196" t="s">
        <v>1263</v>
      </c>
      <c r="G415" s="95" t="s">
        <v>458</v>
      </c>
      <c r="H415" s="139">
        <v>15</v>
      </c>
      <c r="I415" s="139">
        <v>2</v>
      </c>
      <c r="J415" s="139">
        <v>0.2387</v>
      </c>
      <c r="K415" s="139">
        <v>0.2384</v>
      </c>
      <c r="L415" s="95" t="s">
        <v>459</v>
      </c>
      <c r="M415" s="139">
        <v>1</v>
      </c>
      <c r="N415" s="139">
        <v>0.06</v>
      </c>
      <c r="O415" s="209">
        <v>5.17</v>
      </c>
      <c r="P415" s="139">
        <v>16.82</v>
      </c>
      <c r="Q415" s="139">
        <v>6.12</v>
      </c>
      <c r="R415" s="139">
        <v>4.1900000000000004</v>
      </c>
      <c r="S415" s="179">
        <f t="shared" si="12"/>
        <v>4.1946308724832218</v>
      </c>
      <c r="T415" s="179">
        <f t="shared" si="13"/>
        <v>4.6308724832213599E-3</v>
      </c>
      <c r="U415" s="179"/>
      <c r="V415" s="150" t="s">
        <v>460</v>
      </c>
      <c r="W415" s="139">
        <v>4</v>
      </c>
      <c r="X415" s="139">
        <v>4</v>
      </c>
    </row>
    <row r="416" spans="2:24" x14ac:dyDescent="0.3">
      <c r="B416" s="139">
        <v>413</v>
      </c>
      <c r="C416" s="139">
        <v>782</v>
      </c>
      <c r="D416" s="139" t="s">
        <v>1264</v>
      </c>
      <c r="E416" s="151" t="s">
        <v>283</v>
      </c>
      <c r="F416" s="196" t="s">
        <v>1265</v>
      </c>
      <c r="G416" s="95" t="s">
        <v>458</v>
      </c>
      <c r="H416" s="139">
        <v>2</v>
      </c>
      <c r="I416" s="139">
        <v>1</v>
      </c>
      <c r="J416" s="139">
        <v>3.5099999999999999E-2</v>
      </c>
      <c r="K416" s="139">
        <v>0.35</v>
      </c>
      <c r="L416" s="95" t="s">
        <v>459</v>
      </c>
      <c r="M416" s="139">
        <v>0</v>
      </c>
      <c r="N416" s="139">
        <v>0.01</v>
      </c>
      <c r="O416" s="209">
        <v>2.34</v>
      </c>
      <c r="P416" s="139">
        <v>9</v>
      </c>
      <c r="Q416" s="139">
        <v>3.31</v>
      </c>
      <c r="R416" s="150">
        <v>0</v>
      </c>
      <c r="S416" s="179">
        <f t="shared" si="12"/>
        <v>0</v>
      </c>
      <c r="T416" s="179">
        <f t="shared" si="13"/>
        <v>0</v>
      </c>
      <c r="U416" s="179"/>
      <c r="V416" s="150" t="s">
        <v>460</v>
      </c>
      <c r="W416" s="150" t="s">
        <v>460</v>
      </c>
      <c r="X416" s="150" t="s">
        <v>460</v>
      </c>
    </row>
    <row r="417" spans="2:24" x14ac:dyDescent="0.3">
      <c r="B417" s="139">
        <v>414</v>
      </c>
      <c r="C417" s="139">
        <v>783</v>
      </c>
      <c r="D417" s="139" t="s">
        <v>1266</v>
      </c>
      <c r="E417" s="151" t="s">
        <v>283</v>
      </c>
      <c r="F417" s="196" t="s">
        <v>1267</v>
      </c>
      <c r="G417" s="95" t="s">
        <v>458</v>
      </c>
      <c r="H417" s="139">
        <v>21</v>
      </c>
      <c r="I417" s="139">
        <v>3</v>
      </c>
      <c r="J417" s="139">
        <v>0.36840000000000001</v>
      </c>
      <c r="K417" s="139">
        <v>0.3679</v>
      </c>
      <c r="L417" s="95" t="s">
        <v>459</v>
      </c>
      <c r="M417" s="139">
        <v>0</v>
      </c>
      <c r="N417" s="210">
        <v>4.0000000000000001E-3</v>
      </c>
      <c r="O417" s="209">
        <v>0.92</v>
      </c>
      <c r="P417" s="139">
        <v>3.52</v>
      </c>
      <c r="Q417" s="139">
        <v>1.29</v>
      </c>
      <c r="R417" s="150">
        <v>0</v>
      </c>
      <c r="S417" s="179">
        <f t="shared" si="12"/>
        <v>0</v>
      </c>
      <c r="T417" s="179">
        <f t="shared" si="13"/>
        <v>0</v>
      </c>
      <c r="U417" s="179"/>
      <c r="V417" s="150" t="s">
        <v>460</v>
      </c>
      <c r="W417" s="150" t="s">
        <v>460</v>
      </c>
      <c r="X417" s="150" t="s">
        <v>460</v>
      </c>
    </row>
    <row r="418" spans="2:24" x14ac:dyDescent="0.3">
      <c r="B418" s="139">
        <v>415</v>
      </c>
      <c r="C418" s="139">
        <v>784</v>
      </c>
      <c r="D418" s="139" t="s">
        <v>1268</v>
      </c>
      <c r="E418" s="151" t="s">
        <v>283</v>
      </c>
      <c r="F418" s="196" t="s">
        <v>1269</v>
      </c>
      <c r="G418" s="95" t="s">
        <v>458</v>
      </c>
      <c r="H418" s="139">
        <v>5</v>
      </c>
      <c r="I418" s="139">
        <v>1</v>
      </c>
      <c r="J418" s="139">
        <v>8.77E-2</v>
      </c>
      <c r="K418" s="139">
        <v>8.7599999999999997E-2</v>
      </c>
      <c r="L418" s="95" t="s">
        <v>459</v>
      </c>
      <c r="M418" s="139">
        <v>0</v>
      </c>
      <c r="N418" s="139">
        <v>0.01</v>
      </c>
      <c r="O418" s="209">
        <v>1.88</v>
      </c>
      <c r="P418" s="139">
        <v>7.22</v>
      </c>
      <c r="Q418" s="139">
        <v>2.66</v>
      </c>
      <c r="R418" s="150">
        <v>0</v>
      </c>
      <c r="S418" s="179">
        <f t="shared" si="12"/>
        <v>0</v>
      </c>
      <c r="T418" s="179">
        <f t="shared" si="13"/>
        <v>0</v>
      </c>
      <c r="U418" s="179"/>
      <c r="V418" s="150" t="s">
        <v>460</v>
      </c>
      <c r="W418" s="150" t="s">
        <v>460</v>
      </c>
      <c r="X418" s="150" t="s">
        <v>460</v>
      </c>
    </row>
    <row r="419" spans="2:24" x14ac:dyDescent="0.3">
      <c r="B419" s="139">
        <v>416</v>
      </c>
      <c r="C419" s="139">
        <v>785</v>
      </c>
      <c r="D419" s="139" t="s">
        <v>1270</v>
      </c>
      <c r="E419" s="151" t="s">
        <v>283</v>
      </c>
      <c r="F419" s="196" t="s">
        <v>1271</v>
      </c>
      <c r="G419" s="95" t="s">
        <v>458</v>
      </c>
      <c r="H419" s="139">
        <v>19</v>
      </c>
      <c r="I419" s="139">
        <v>4</v>
      </c>
      <c r="J419" s="139">
        <v>0.32719999999999999</v>
      </c>
      <c r="K419" s="139">
        <v>0.33289999999999997</v>
      </c>
      <c r="L419" s="95" t="s">
        <v>459</v>
      </c>
      <c r="M419" s="139">
        <v>0</v>
      </c>
      <c r="N419" s="210">
        <v>4.0000000000000001E-3</v>
      </c>
      <c r="O419" s="209">
        <v>0.98</v>
      </c>
      <c r="P419" s="139">
        <v>3.76</v>
      </c>
      <c r="Q419" s="139">
        <v>1.38</v>
      </c>
      <c r="R419" s="150">
        <v>0</v>
      </c>
      <c r="S419" s="179">
        <f t="shared" si="12"/>
        <v>0</v>
      </c>
      <c r="T419" s="179">
        <f t="shared" si="13"/>
        <v>0</v>
      </c>
      <c r="U419" s="179"/>
      <c r="V419" s="150" t="s">
        <v>460</v>
      </c>
      <c r="W419" s="150" t="s">
        <v>460</v>
      </c>
      <c r="X419" s="150" t="s">
        <v>460</v>
      </c>
    </row>
    <row r="420" spans="2:24" x14ac:dyDescent="0.3">
      <c r="B420" s="139">
        <v>417</v>
      </c>
      <c r="C420" s="139">
        <v>786</v>
      </c>
      <c r="D420" s="139" t="s">
        <v>1272</v>
      </c>
      <c r="E420" s="151" t="s">
        <v>283</v>
      </c>
      <c r="F420" s="196" t="s">
        <v>1273</v>
      </c>
      <c r="G420" s="95" t="s">
        <v>458</v>
      </c>
      <c r="H420" s="139">
        <v>6</v>
      </c>
      <c r="I420" s="139">
        <v>1</v>
      </c>
      <c r="J420" s="139">
        <v>0.1053</v>
      </c>
      <c r="K420" s="139">
        <v>0.1051</v>
      </c>
      <c r="L420" s="95" t="s">
        <v>459</v>
      </c>
      <c r="M420" s="139">
        <v>1</v>
      </c>
      <c r="N420" s="139">
        <v>0.48</v>
      </c>
      <c r="O420" s="209">
        <v>9.51</v>
      </c>
      <c r="P420" s="139">
        <v>45.14</v>
      </c>
      <c r="Q420" s="139">
        <v>9.51</v>
      </c>
      <c r="R420" s="139">
        <v>9.51</v>
      </c>
      <c r="S420" s="179">
        <f t="shared" si="12"/>
        <v>9.5147478591817318</v>
      </c>
      <c r="T420" s="179">
        <f t="shared" si="13"/>
        <v>4.7478591817320392E-3</v>
      </c>
      <c r="U420" s="179"/>
      <c r="V420" s="150" t="s">
        <v>460</v>
      </c>
      <c r="W420" s="150" t="s">
        <v>460</v>
      </c>
      <c r="X420" s="150" t="s">
        <v>460</v>
      </c>
    </row>
    <row r="421" spans="2:24" x14ac:dyDescent="0.3">
      <c r="B421" s="139">
        <v>418</v>
      </c>
      <c r="C421" s="139">
        <v>787</v>
      </c>
      <c r="D421" s="139" t="s">
        <v>1274</v>
      </c>
      <c r="E421" s="151" t="s">
        <v>283</v>
      </c>
      <c r="F421" s="196" t="s">
        <v>1275</v>
      </c>
      <c r="G421" s="95" t="s">
        <v>458</v>
      </c>
      <c r="H421" s="139">
        <v>2</v>
      </c>
      <c r="I421" s="139">
        <v>1</v>
      </c>
      <c r="J421" s="139">
        <v>3.5099999999999999E-2</v>
      </c>
      <c r="K421" s="139">
        <v>3.5000000000000003E-2</v>
      </c>
      <c r="L421" s="95" t="s">
        <v>459</v>
      </c>
      <c r="M421" s="139">
        <v>0</v>
      </c>
      <c r="N421" s="139">
        <v>0.01</v>
      </c>
      <c r="O421" s="209">
        <v>2.34</v>
      </c>
      <c r="P421" s="139">
        <v>9</v>
      </c>
      <c r="Q421" s="139">
        <v>3.31</v>
      </c>
      <c r="R421" s="150">
        <v>0</v>
      </c>
      <c r="S421" s="179">
        <f t="shared" si="12"/>
        <v>0</v>
      </c>
      <c r="T421" s="179">
        <f t="shared" si="13"/>
        <v>0</v>
      </c>
      <c r="U421" s="179"/>
      <c r="V421" s="150" t="s">
        <v>460</v>
      </c>
      <c r="W421" s="150" t="s">
        <v>460</v>
      </c>
      <c r="X421" s="150" t="s">
        <v>460</v>
      </c>
    </row>
    <row r="422" spans="2:24" x14ac:dyDescent="0.3">
      <c r="B422" s="139">
        <v>419</v>
      </c>
      <c r="C422" s="139">
        <v>788</v>
      </c>
      <c r="D422" s="139" t="s">
        <v>1276</v>
      </c>
      <c r="E422" s="151" t="s">
        <v>283</v>
      </c>
      <c r="F422" s="196" t="s">
        <v>1277</v>
      </c>
      <c r="G422" s="95" t="s">
        <v>458</v>
      </c>
      <c r="H422" s="139">
        <v>114</v>
      </c>
      <c r="I422" s="139">
        <v>1</v>
      </c>
      <c r="J422" s="139">
        <v>3.1738</v>
      </c>
      <c r="K422" s="139">
        <v>3.1709999999999998</v>
      </c>
      <c r="L422" s="95" t="s">
        <v>459</v>
      </c>
      <c r="M422" s="139">
        <v>25</v>
      </c>
      <c r="N422" s="139">
        <v>5.48</v>
      </c>
      <c r="O422" s="209">
        <v>7.88</v>
      </c>
      <c r="P422" s="139">
        <v>11.01</v>
      </c>
      <c r="Q422" s="139">
        <v>1.58</v>
      </c>
      <c r="R422" s="139">
        <v>7.88</v>
      </c>
      <c r="S422" s="179">
        <f t="shared" si="12"/>
        <v>7.8839482812992747</v>
      </c>
      <c r="T422" s="179">
        <f t="shared" si="13"/>
        <v>3.9482812992748251E-3</v>
      </c>
      <c r="U422" s="179"/>
      <c r="V422" s="150" t="s">
        <v>460</v>
      </c>
      <c r="W422" s="139">
        <v>2.4</v>
      </c>
      <c r="X422" s="139">
        <v>4</v>
      </c>
    </row>
    <row r="423" spans="2:24" x14ac:dyDescent="0.3">
      <c r="B423" s="139">
        <v>420</v>
      </c>
      <c r="C423" s="139">
        <v>791</v>
      </c>
      <c r="D423" s="139" t="s">
        <v>1278</v>
      </c>
      <c r="E423" s="151" t="s">
        <v>283</v>
      </c>
      <c r="F423" s="196" t="s">
        <v>1279</v>
      </c>
      <c r="G423" s="95" t="s">
        <v>458</v>
      </c>
      <c r="H423" s="139">
        <v>26</v>
      </c>
      <c r="I423" s="139">
        <v>1</v>
      </c>
      <c r="J423" s="139">
        <v>0.7238</v>
      </c>
      <c r="K423" s="139">
        <v>0.72319999999999995</v>
      </c>
      <c r="L423" s="95" t="s">
        <v>459</v>
      </c>
      <c r="M423" s="139">
        <v>10</v>
      </c>
      <c r="N423" s="139">
        <v>7.5</v>
      </c>
      <c r="O423" s="209">
        <v>13.83</v>
      </c>
      <c r="P423" s="139">
        <v>23.45</v>
      </c>
      <c r="Q423" s="139">
        <v>4.37</v>
      </c>
      <c r="R423" s="139">
        <v>13.83</v>
      </c>
      <c r="S423" s="179">
        <f t="shared" si="12"/>
        <v>13.827433628318586</v>
      </c>
      <c r="T423" s="179">
        <f t="shared" si="13"/>
        <v>2.5663716814143811E-3</v>
      </c>
      <c r="U423" s="179"/>
      <c r="V423" s="150" t="s">
        <v>460</v>
      </c>
      <c r="W423" s="139">
        <v>2.9</v>
      </c>
      <c r="X423" s="139">
        <v>4</v>
      </c>
    </row>
    <row r="424" spans="2:24" x14ac:dyDescent="0.3">
      <c r="B424" s="139">
        <v>421</v>
      </c>
      <c r="C424" s="139">
        <v>792</v>
      </c>
      <c r="D424" s="139" t="s">
        <v>1280</v>
      </c>
      <c r="E424" s="151" t="s">
        <v>283</v>
      </c>
      <c r="F424" s="196" t="s">
        <v>1281</v>
      </c>
      <c r="G424" s="95" t="s">
        <v>458</v>
      </c>
      <c r="H424" s="139">
        <v>63</v>
      </c>
      <c r="I424" s="139">
        <v>1</v>
      </c>
      <c r="J424" s="139">
        <v>1.7539</v>
      </c>
      <c r="K424" s="139">
        <v>1.7524</v>
      </c>
      <c r="L424" s="95" t="s">
        <v>459</v>
      </c>
      <c r="M424" s="139">
        <v>8</v>
      </c>
      <c r="N424" s="139">
        <v>2.27</v>
      </c>
      <c r="O424" s="209">
        <v>4.57</v>
      </c>
      <c r="P424" s="139">
        <v>8.24</v>
      </c>
      <c r="Q424" s="139">
        <v>1.61</v>
      </c>
      <c r="R424" s="139">
        <v>4.57</v>
      </c>
      <c r="S424" s="179">
        <f t="shared" si="12"/>
        <v>4.5651677699155444</v>
      </c>
      <c r="T424" s="179">
        <f t="shared" si="13"/>
        <v>4.8322300844558796E-3</v>
      </c>
      <c r="U424" s="179"/>
      <c r="V424" s="150" t="s">
        <v>460</v>
      </c>
      <c r="W424" s="139">
        <v>3.2</v>
      </c>
      <c r="X424" s="139">
        <v>4</v>
      </c>
    </row>
    <row r="425" spans="2:24" x14ac:dyDescent="0.3">
      <c r="B425" s="139">
        <v>422</v>
      </c>
      <c r="C425" s="139">
        <v>793</v>
      </c>
      <c r="D425" s="139" t="s">
        <v>1282</v>
      </c>
      <c r="E425" s="151" t="s">
        <v>283</v>
      </c>
      <c r="F425" s="196" t="s">
        <v>1283</v>
      </c>
      <c r="G425" s="95" t="s">
        <v>458</v>
      </c>
      <c r="H425" s="139">
        <v>20</v>
      </c>
      <c r="I425" s="139">
        <v>1</v>
      </c>
      <c r="J425" s="139">
        <v>0.55679999999999996</v>
      </c>
      <c r="K425" s="139">
        <v>0.55630000000000002</v>
      </c>
      <c r="L425" s="95" t="s">
        <v>459</v>
      </c>
      <c r="M425" s="139">
        <v>6</v>
      </c>
      <c r="N425" s="139">
        <v>4.7</v>
      </c>
      <c r="O425" s="209">
        <v>10.79</v>
      </c>
      <c r="P425" s="139">
        <v>21.28</v>
      </c>
      <c r="Q425" s="139">
        <v>4.4000000000000004</v>
      </c>
      <c r="R425" s="139">
        <v>10.79</v>
      </c>
      <c r="S425" s="179">
        <f t="shared" si="12"/>
        <v>10.785547366528851</v>
      </c>
      <c r="T425" s="179">
        <f t="shared" si="13"/>
        <v>4.4526334711481041E-3</v>
      </c>
      <c r="U425" s="179"/>
      <c r="V425" s="150" t="s">
        <v>460</v>
      </c>
      <c r="W425" s="139">
        <v>1.3</v>
      </c>
      <c r="X425" s="139">
        <v>2</v>
      </c>
    </row>
    <row r="426" spans="2:24" ht="15" thickBot="1" x14ac:dyDescent="0.35">
      <c r="B426" s="9">
        <v>423</v>
      </c>
      <c r="C426" s="9">
        <v>794</v>
      </c>
      <c r="D426" s="9" t="s">
        <v>1284</v>
      </c>
      <c r="E426" s="216" t="s">
        <v>283</v>
      </c>
      <c r="F426" s="216" t="s">
        <v>1285</v>
      </c>
      <c r="G426" s="154" t="s">
        <v>458</v>
      </c>
      <c r="H426" s="9">
        <v>5</v>
      </c>
      <c r="I426" s="9">
        <v>1</v>
      </c>
      <c r="J426" s="9">
        <v>0.13919999999999999</v>
      </c>
      <c r="K426" s="9">
        <v>0.1391</v>
      </c>
      <c r="L426" s="154" t="s">
        <v>459</v>
      </c>
      <c r="M426" s="9">
        <v>1</v>
      </c>
      <c r="N426" s="9">
        <v>0.36</v>
      </c>
      <c r="O426" s="209">
        <v>7.19</v>
      </c>
      <c r="P426" s="9">
        <v>34.119999999999997</v>
      </c>
      <c r="Q426" s="9">
        <v>7.19</v>
      </c>
      <c r="R426" s="9">
        <v>7.19</v>
      </c>
      <c r="S426" s="179">
        <f t="shared" si="12"/>
        <v>7.1890726096333575</v>
      </c>
      <c r="T426" s="179">
        <f t="shared" si="13"/>
        <v>9.2739036664291064E-4</v>
      </c>
      <c r="U426" s="217"/>
      <c r="V426" s="218" t="s">
        <v>460</v>
      </c>
      <c r="W426" s="9">
        <v>0.5</v>
      </c>
      <c r="X426" s="9">
        <v>0.5</v>
      </c>
    </row>
  </sheetData>
  <autoFilter ref="B3:X426" xr:uid="{00000000-0001-0000-0700-000000000000}"/>
  <mergeCells count="2">
    <mergeCell ref="N2:R2"/>
    <mergeCell ref="V2:X2"/>
  </mergeCells>
  <conditionalFormatting sqref="T4:U426">
    <cfRule type="colorScale" priority="1">
      <colorScale>
        <cfvo type="num" val="0"/>
        <cfvo type="max"/>
        <color rgb="FF63BE7B"/>
        <color rgb="FFF8696B"/>
      </colorScale>
    </cfRule>
  </conditionalFormatting>
  <pageMargins left="0.7" right="0.7" top="0.75" bottom="0.75" header="0.3" footer="0.3"/>
  <pageSetup orientation="portrait" r:id="rId1"/>
  <ignoredErrors>
    <ignoredError sqref="D170 D157 D186 D115" numberStoredAsText="1"/>
  </ignoredErrors>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60481-0663-4637-BEF3-6529F0098C7E}">
  <dimension ref="B1:M34"/>
  <sheetViews>
    <sheetView workbookViewId="0">
      <selection activeCell="N11" sqref="N11"/>
    </sheetView>
  </sheetViews>
  <sheetFormatPr baseColWidth="10" defaultRowHeight="14.4" x14ac:dyDescent="0.3"/>
  <sheetData>
    <row r="1" spans="2:12" s="141" customFormat="1" x14ac:dyDescent="0.3"/>
    <row r="2" spans="2:12" x14ac:dyDescent="0.3">
      <c r="K2" t="s">
        <v>1370</v>
      </c>
    </row>
    <row r="3" spans="2:12" x14ac:dyDescent="0.3">
      <c r="B3" s="24" t="s">
        <v>1380</v>
      </c>
      <c r="K3" t="s">
        <v>1366</v>
      </c>
    </row>
    <row r="4" spans="2:12" x14ac:dyDescent="0.3">
      <c r="K4" t="s">
        <v>1367</v>
      </c>
    </row>
    <row r="5" spans="2:12" x14ac:dyDescent="0.3">
      <c r="K5" t="s">
        <v>1368</v>
      </c>
    </row>
    <row r="6" spans="2:12" x14ac:dyDescent="0.3">
      <c r="K6" t="s">
        <v>1369</v>
      </c>
    </row>
    <row r="8" spans="2:12" x14ac:dyDescent="0.3">
      <c r="K8" t="s">
        <v>1378</v>
      </c>
      <c r="L8" t="s">
        <v>1379</v>
      </c>
    </row>
    <row r="9" spans="2:12" x14ac:dyDescent="0.3">
      <c r="K9" s="284">
        <v>3.0000000000000001E-5</v>
      </c>
      <c r="L9">
        <f>+K9*1000000/8760</f>
        <v>3.4246575342465752E-3</v>
      </c>
    </row>
    <row r="10" spans="2:12" x14ac:dyDescent="0.3">
      <c r="K10" s="284">
        <v>3.0599999999999998E-5</v>
      </c>
      <c r="L10" s="141">
        <f>+K10*1000000/8760</f>
        <v>3.4931506849315065E-3</v>
      </c>
    </row>
    <row r="12" spans="2:12" x14ac:dyDescent="0.3">
      <c r="K12" s="284">
        <v>3.0599999999999998E-5</v>
      </c>
      <c r="L12" s="141">
        <f>+K12*1000000/8760</f>
        <v>3.4931506849315065E-3</v>
      </c>
    </row>
    <row r="15" spans="2:12" x14ac:dyDescent="0.3">
      <c r="K15" s="284">
        <v>3.0599999999999998E-5</v>
      </c>
      <c r="L15" s="141">
        <f>+K15*1000000/8760</f>
        <v>3.4931506849315065E-3</v>
      </c>
    </row>
    <row r="17" spans="11:13" x14ac:dyDescent="0.3">
      <c r="K17" s="284">
        <v>3.0599999999999998E-5</v>
      </c>
      <c r="L17" s="141">
        <f>+K17*1000000/8760</f>
        <v>3.4931506849315065E-3</v>
      </c>
      <c r="M17">
        <v>3.4931506849315099E-3</v>
      </c>
    </row>
    <row r="21" spans="11:13" x14ac:dyDescent="0.3">
      <c r="K21" s="284">
        <v>3.0599999999999998E-5</v>
      </c>
      <c r="L21" s="141">
        <f>+K21*1000000/8760</f>
        <v>3.4931506849315065E-3</v>
      </c>
      <c r="M21">
        <v>3.4931506849315099E-3</v>
      </c>
    </row>
    <row r="26" spans="11:13" x14ac:dyDescent="0.3">
      <c r="K26" s="284">
        <v>3.0599999999999998E-5</v>
      </c>
      <c r="L26" s="141">
        <f>+K26*1000000/8760</f>
        <v>3.4931506849315065E-3</v>
      </c>
    </row>
    <row r="28" spans="11:13" x14ac:dyDescent="0.3">
      <c r="K28" s="284">
        <v>7.2000000000000005E-4</v>
      </c>
      <c r="L28" s="141">
        <f>+K28*1000000/8760</f>
        <v>8.2191780821917804E-2</v>
      </c>
    </row>
    <row r="29" spans="11:13" x14ac:dyDescent="0.3">
      <c r="K29" s="284">
        <v>1E-4</v>
      </c>
      <c r="L29" s="141">
        <f>+K29*1000000/8760</f>
        <v>1.1415525114155251E-2</v>
      </c>
    </row>
    <row r="34" spans="11:12" x14ac:dyDescent="0.3">
      <c r="K34" s="284">
        <v>3.0599999999999998E-5</v>
      </c>
      <c r="L34" s="141">
        <f>+K34*1000000/8760</f>
        <v>3.4931506849315065E-3</v>
      </c>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6">
    <tabColor rgb="FFFF0000"/>
  </sheetPr>
  <dimension ref="A2:AM235"/>
  <sheetViews>
    <sheetView zoomScaleNormal="100" workbookViewId="0">
      <selection activeCell="E4" sqref="E4"/>
    </sheetView>
  </sheetViews>
  <sheetFormatPr baseColWidth="10" defaultColWidth="11.44140625" defaultRowHeight="14.4" x14ac:dyDescent="0.3"/>
  <cols>
    <col min="1" max="2" width="4.33203125" style="3" customWidth="1"/>
    <col min="3" max="3" width="20.33203125" style="3" bestFit="1" customWidth="1"/>
    <col min="4" max="4" width="18.6640625" style="3" bestFit="1" customWidth="1"/>
    <col min="5" max="5" width="35.109375" style="3" bestFit="1" customWidth="1"/>
    <col min="6" max="8" width="7.44140625" style="3" customWidth="1"/>
    <col min="9" max="9" width="10.6640625" style="118" customWidth="1"/>
    <col min="10" max="10" width="10.6640625" style="3" customWidth="1"/>
    <col min="11" max="11" width="10.6640625" style="27" customWidth="1"/>
    <col min="12" max="16" width="9" style="3" customWidth="1"/>
    <col min="17" max="17" width="11.88671875" style="3" customWidth="1"/>
    <col min="18" max="31" width="8.109375" style="3" customWidth="1"/>
    <col min="32" max="32" width="3.109375" style="3" customWidth="1"/>
    <col min="33" max="16384" width="11.44140625" style="3"/>
  </cols>
  <sheetData>
    <row r="2" spans="1:39" ht="21" x14ac:dyDescent="0.4">
      <c r="B2" s="26" t="s">
        <v>324</v>
      </c>
      <c r="G2" s="3">
        <f>(0.95)^0.071429</f>
        <v>0.99634287490616968</v>
      </c>
      <c r="M2" s="3">
        <f>0.976</f>
        <v>0.97599999999999998</v>
      </c>
    </row>
    <row r="4" spans="1:39" x14ac:dyDescent="0.3">
      <c r="A4" s="28"/>
      <c r="B4" s="28" t="s">
        <v>325</v>
      </c>
      <c r="C4" s="28"/>
      <c r="E4" s="3" t="s">
        <v>326</v>
      </c>
    </row>
    <row r="5" spans="1:39" x14ac:dyDescent="0.3">
      <c r="A5" s="28"/>
      <c r="B5" s="28" t="s">
        <v>327</v>
      </c>
      <c r="C5" s="28"/>
    </row>
    <row r="6" spans="1:39" x14ac:dyDescent="0.3">
      <c r="A6" s="28"/>
      <c r="B6" s="28" t="s">
        <v>328</v>
      </c>
      <c r="C6" s="28"/>
      <c r="M6" s="3">
        <f>1/14</f>
        <v>7.1428571428571425E-2</v>
      </c>
    </row>
    <row r="7" spans="1:39" x14ac:dyDescent="0.3">
      <c r="A7" s="28"/>
      <c r="B7" s="28" t="s">
        <v>329</v>
      </c>
      <c r="C7" s="28"/>
      <c r="E7" s="3" t="e">
        <f>I19*5</f>
        <v>#DIV/0!</v>
      </c>
    </row>
    <row r="8" spans="1:39" ht="15" thickBot="1" x14ac:dyDescent="0.35">
      <c r="AG8" s="413" t="s">
        <v>330</v>
      </c>
      <c r="AH8" s="413"/>
      <c r="AI8" s="413"/>
      <c r="AJ8" s="413"/>
      <c r="AK8" s="413"/>
      <c r="AL8" s="413"/>
      <c r="AM8" s="413"/>
    </row>
    <row r="9" spans="1:39" s="4" customFormat="1" ht="15.75" customHeight="1" x14ac:dyDescent="0.3">
      <c r="B9" s="414" t="s">
        <v>331</v>
      </c>
      <c r="C9" s="414"/>
      <c r="D9" s="414"/>
      <c r="E9" s="414"/>
      <c r="F9" s="291" t="s">
        <v>332</v>
      </c>
      <c r="G9" s="291"/>
      <c r="H9" s="291"/>
      <c r="I9" s="291"/>
      <c r="J9" s="291"/>
      <c r="K9" s="291"/>
      <c r="L9" s="291"/>
      <c r="M9" s="291"/>
      <c r="N9" s="291"/>
      <c r="O9" s="291"/>
      <c r="P9" s="291"/>
      <c r="Q9" s="297" t="s">
        <v>333</v>
      </c>
      <c r="R9" s="298"/>
      <c r="S9" s="298"/>
      <c r="T9" s="298"/>
      <c r="U9" s="298"/>
      <c r="V9" s="298"/>
      <c r="W9" s="298"/>
      <c r="X9" s="298"/>
      <c r="Y9" s="298"/>
      <c r="Z9" s="298"/>
      <c r="AA9" s="298"/>
      <c r="AB9" s="298"/>
      <c r="AC9" s="298"/>
      <c r="AD9" s="298"/>
      <c r="AE9" s="299"/>
      <c r="AG9" s="413"/>
      <c r="AH9" s="413"/>
      <c r="AI9" s="413"/>
      <c r="AJ9" s="413"/>
      <c r="AK9" s="413"/>
      <c r="AL9" s="413"/>
      <c r="AM9" s="413"/>
    </row>
    <row r="10" spans="1:39" s="4" customFormat="1" x14ac:dyDescent="0.3">
      <c r="B10" s="414"/>
      <c r="C10" s="414"/>
      <c r="D10" s="414"/>
      <c r="E10" s="414"/>
      <c r="F10" s="291" t="s">
        <v>334</v>
      </c>
      <c r="G10" s="291"/>
      <c r="H10" s="291"/>
      <c r="I10" s="292" t="s">
        <v>335</v>
      </c>
      <c r="J10" s="292"/>
      <c r="K10" s="292"/>
      <c r="L10" s="292"/>
      <c r="M10" s="292"/>
      <c r="N10" s="292"/>
      <c r="O10" s="292"/>
      <c r="P10" s="292"/>
      <c r="Q10" s="293" t="s">
        <v>336</v>
      </c>
      <c r="R10" s="291"/>
      <c r="S10" s="291"/>
      <c r="T10" s="291"/>
      <c r="U10" s="291"/>
      <c r="V10" s="291"/>
      <c r="W10" s="291" t="s">
        <v>337</v>
      </c>
      <c r="X10" s="291"/>
      <c r="Y10" s="291"/>
      <c r="Z10" s="291"/>
      <c r="AA10" s="291"/>
      <c r="AB10" s="291" t="s">
        <v>338</v>
      </c>
      <c r="AC10" s="291"/>
      <c r="AD10" s="291"/>
      <c r="AE10" s="303"/>
      <c r="AG10" s="415" t="s">
        <v>339</v>
      </c>
      <c r="AH10" s="415"/>
      <c r="AI10" s="415"/>
      <c r="AJ10" s="415"/>
      <c r="AK10" s="415"/>
      <c r="AL10" s="415"/>
      <c r="AM10" s="415"/>
    </row>
    <row r="11" spans="1:39" s="4" customFormat="1" ht="15" thickBot="1" x14ac:dyDescent="0.35">
      <c r="B11" s="29" t="s">
        <v>340</v>
      </c>
      <c r="C11" s="29" t="s">
        <v>341</v>
      </c>
      <c r="D11" s="29" t="s">
        <v>0</v>
      </c>
      <c r="E11" s="29" t="s">
        <v>159</v>
      </c>
      <c r="F11" s="29" t="s">
        <v>342</v>
      </c>
      <c r="G11" s="29" t="s">
        <v>279</v>
      </c>
      <c r="H11" s="29" t="s">
        <v>280</v>
      </c>
      <c r="I11" s="119" t="s">
        <v>343</v>
      </c>
      <c r="J11" s="31" t="s">
        <v>344</v>
      </c>
      <c r="K11" s="30" t="s">
        <v>345</v>
      </c>
      <c r="L11" s="31" t="s">
        <v>346</v>
      </c>
      <c r="M11" s="31" t="s">
        <v>347</v>
      </c>
      <c r="N11" s="31" t="s">
        <v>348</v>
      </c>
      <c r="O11" s="31" t="s">
        <v>301</v>
      </c>
      <c r="P11" s="31" t="s">
        <v>281</v>
      </c>
      <c r="Q11" s="32" t="s">
        <v>349</v>
      </c>
      <c r="R11" s="33" t="s">
        <v>350</v>
      </c>
      <c r="S11" s="33">
        <v>0.95</v>
      </c>
      <c r="T11" s="33">
        <v>0.5</v>
      </c>
      <c r="U11" s="33">
        <v>0.05</v>
      </c>
      <c r="V11" s="34" t="s">
        <v>351</v>
      </c>
      <c r="W11" s="33" t="s">
        <v>350</v>
      </c>
      <c r="X11" s="33">
        <v>0.95</v>
      </c>
      <c r="Y11" s="33">
        <v>0.5</v>
      </c>
      <c r="Z11" s="33">
        <v>0.05</v>
      </c>
      <c r="AA11" s="34" t="s">
        <v>351</v>
      </c>
      <c r="AB11" s="33" t="s">
        <v>350</v>
      </c>
      <c r="AC11" s="33">
        <v>0.95</v>
      </c>
      <c r="AD11" s="33">
        <v>0.5</v>
      </c>
      <c r="AE11" s="35">
        <v>0.05</v>
      </c>
    </row>
    <row r="12" spans="1:39" ht="15" customHeight="1" x14ac:dyDescent="0.3">
      <c r="B12" s="36">
        <v>1</v>
      </c>
      <c r="C12" s="37" t="s">
        <v>352</v>
      </c>
      <c r="D12" s="110" t="s">
        <v>1</v>
      </c>
      <c r="E12" s="38" t="s">
        <v>353</v>
      </c>
      <c r="F12" s="39">
        <v>0.3</v>
      </c>
      <c r="G12" s="40">
        <v>11</v>
      </c>
      <c r="H12" s="40">
        <v>1293</v>
      </c>
      <c r="I12" s="120">
        <f>AB12/2</f>
        <v>0.64252005240573151</v>
      </c>
      <c r="J12" s="42">
        <f>I12/G12</f>
        <v>5.8410913855066499E-2</v>
      </c>
      <c r="K12" s="41">
        <f>1/J12</f>
        <v>17.120088250652511</v>
      </c>
      <c r="L12" s="43">
        <f>1/2/J12*AC12</f>
        <v>0.27437179387535948</v>
      </c>
      <c r="M12" s="43">
        <f>I12/J12</f>
        <v>11</v>
      </c>
      <c r="N12" s="43">
        <f>1/2/J12*AD12</f>
        <v>6.1667481767000387</v>
      </c>
      <c r="O12" s="43">
        <f>1/2/J12*AE12</f>
        <v>38.128978125972999</v>
      </c>
      <c r="P12" s="44">
        <f>SQRT(M12/J12)</f>
        <v>13.723008808463895</v>
      </c>
      <c r="Q12" s="45">
        <f>F12/G12</f>
        <v>2.7272727272727271E-2</v>
      </c>
      <c r="R12" s="46">
        <v>1</v>
      </c>
      <c r="S12" s="47">
        <v>3.9321400005324098E-3</v>
      </c>
      <c r="T12" s="47">
        <v>0.4549364250484666</v>
      </c>
      <c r="U12" s="47">
        <v>3.841459149489757</v>
      </c>
      <c r="V12" s="47">
        <f>S12/T12</f>
        <v>8.6432736180961992E-3</v>
      </c>
      <c r="W12" s="46">
        <f>R12+1</f>
        <v>2</v>
      </c>
      <c r="X12" s="47">
        <v>0.10258658882167279</v>
      </c>
      <c r="Y12" s="47">
        <v>1.3862943760896287</v>
      </c>
      <c r="Z12" s="47">
        <v>5.9914645471914136</v>
      </c>
      <c r="AA12" s="47">
        <f>X12/Y12</f>
        <v>7.4000580678284605E-2</v>
      </c>
      <c r="AB12" s="47">
        <f>(Q12-V12)/(AA12-V12)*(W12-R12)+R12</f>
        <v>1.285040104811463</v>
      </c>
      <c r="AC12" s="47">
        <f>(Q12-V12)/(AA12-V12)*(X12-S12)+S12</f>
        <v>3.2052614432627372E-2</v>
      </c>
      <c r="AD12" s="47">
        <f>(Q12-V12)/(AA12-V12)*(Y12-T12)+T12</f>
        <v>0.72041079303022881</v>
      </c>
      <c r="AE12" s="48">
        <f>(Q12-V12)/(AA12-V12)*(Z12-U12)+U12</f>
        <v>4.4542969133958481</v>
      </c>
    </row>
    <row r="13" spans="1:39" ht="15" customHeight="1" x14ac:dyDescent="0.3">
      <c r="B13" s="49">
        <f>1+B12</f>
        <v>2</v>
      </c>
      <c r="C13" s="50" t="s">
        <v>352</v>
      </c>
      <c r="D13" s="111" t="s">
        <v>2</v>
      </c>
      <c r="E13" s="51" t="s">
        <v>354</v>
      </c>
      <c r="F13" s="39">
        <v>1</v>
      </c>
      <c r="G13" s="40">
        <v>9.4</v>
      </c>
      <c r="H13" s="40">
        <v>114</v>
      </c>
      <c r="I13" s="120">
        <f t="shared" ref="I13:I75" si="0">AB13/2</f>
        <v>1.2167194545797506</v>
      </c>
      <c r="J13" s="42">
        <f t="shared" ref="J13:J75" si="1">I13/G13</f>
        <v>0.12943823984890965</v>
      </c>
      <c r="K13" s="41">
        <f t="shared" ref="K13:K75" si="2">1/J13</f>
        <v>7.7256922001355823</v>
      </c>
      <c r="L13" s="43">
        <f t="shared" ref="L13:L75" si="3">1/2/J13*AC13</f>
        <v>0.81361371398326376</v>
      </c>
      <c r="M13" s="43">
        <f t="shared" ref="M13:M75" si="4">I13/J13</f>
        <v>9.3999999999999986</v>
      </c>
      <c r="N13" s="43">
        <f t="shared" ref="N13:N75" si="5">1/2/J13*AD13</f>
        <v>6.9953268803005546</v>
      </c>
      <c r="O13" s="43">
        <f t="shared" ref="O13:O75" si="6">1/2/J13*AE13</f>
        <v>26.196809284837354</v>
      </c>
      <c r="P13" s="44">
        <f t="shared" ref="P13:P75" si="7">SQRT(M13/J13)</f>
        <v>8.5218253139379989</v>
      </c>
      <c r="Q13" s="45">
        <f>F13/G13</f>
        <v>0.10638297872340426</v>
      </c>
      <c r="R13" s="52">
        <v>2</v>
      </c>
      <c r="S13" s="53">
        <v>0.10258658882167279</v>
      </c>
      <c r="T13" s="53">
        <v>1.3862943760896287</v>
      </c>
      <c r="U13" s="53">
        <v>5.9914645471914136</v>
      </c>
      <c r="V13" s="53">
        <f t="shared" ref="V13:V75" si="8">S13/T13</f>
        <v>7.4000580678284605E-2</v>
      </c>
      <c r="W13" s="52">
        <f t="shared" ref="W13:W75" si="9">R13+1</f>
        <v>3</v>
      </c>
      <c r="X13" s="53">
        <v>0.35184631840544622</v>
      </c>
      <c r="Y13" s="53">
        <v>2.3659738927290714</v>
      </c>
      <c r="Z13" s="53">
        <v>7.81472776394987</v>
      </c>
      <c r="AA13" s="53">
        <f t="shared" ref="AA13:AA75" si="10">X13/Y13</f>
        <v>0.14871098936751298</v>
      </c>
      <c r="AB13" s="53">
        <f t="shared" ref="AB13:AB75" si="11">(Q13-V13)/(AA13-V13)*(W13-R13)+R13</f>
        <v>2.4334389091595012</v>
      </c>
      <c r="AC13" s="53">
        <f t="shared" ref="AC13:AC75" si="12">(Q13-V13)/(AA13-V13)*(X13-S13)+S13</f>
        <v>0.21062545410985575</v>
      </c>
      <c r="AD13" s="53">
        <f t="shared" ref="AD13:AD75" si="13">(Q13-V13)/(AA13-V13)*(Y13-T13)+T13</f>
        <v>1.810925597107736</v>
      </c>
      <c r="AE13" s="54">
        <f t="shared" ref="AE13:AE75" si="14">(Q13-V13)/(AA13-V13)*(Z13-U13)+U13</f>
        <v>6.7817377669738415</v>
      </c>
    </row>
    <row r="14" spans="1:39" ht="15" customHeight="1" x14ac:dyDescent="0.3">
      <c r="B14" s="49">
        <f t="shared" ref="B14:B77" si="15">1+B13</f>
        <v>3</v>
      </c>
      <c r="C14" s="50" t="s">
        <v>352</v>
      </c>
      <c r="D14" s="111" t="s">
        <v>3</v>
      </c>
      <c r="E14" s="55" t="s">
        <v>160</v>
      </c>
      <c r="F14" s="39">
        <v>0.3</v>
      </c>
      <c r="G14" s="40">
        <v>11</v>
      </c>
      <c r="H14" s="40">
        <v>1293</v>
      </c>
      <c r="I14" s="120">
        <f t="shared" si="0"/>
        <v>0.64252005240573151</v>
      </c>
      <c r="J14" s="42">
        <f t="shared" si="1"/>
        <v>5.8410913855066499E-2</v>
      </c>
      <c r="K14" s="41">
        <f t="shared" si="2"/>
        <v>17.120088250652511</v>
      </c>
      <c r="L14" s="43">
        <f t="shared" si="3"/>
        <v>0.27437179387535948</v>
      </c>
      <c r="M14" s="43">
        <f t="shared" si="4"/>
        <v>11</v>
      </c>
      <c r="N14" s="43">
        <f t="shared" si="5"/>
        <v>6.1667481767000387</v>
      </c>
      <c r="O14" s="43">
        <f t="shared" si="6"/>
        <v>38.128978125972999</v>
      </c>
      <c r="P14" s="44">
        <f t="shared" si="7"/>
        <v>13.723008808463895</v>
      </c>
      <c r="Q14" s="45">
        <f t="shared" ref="Q14:Q76" si="16">F14/G14</f>
        <v>2.7272727272727271E-2</v>
      </c>
      <c r="R14" s="52">
        <v>1</v>
      </c>
      <c r="S14" s="53">
        <v>3.9321400005324098E-3</v>
      </c>
      <c r="T14" s="53">
        <v>0.4549364250484666</v>
      </c>
      <c r="U14" s="53">
        <v>3.841459149489757</v>
      </c>
      <c r="V14" s="53">
        <f t="shared" si="8"/>
        <v>8.6432736180961992E-3</v>
      </c>
      <c r="W14" s="52">
        <f t="shared" si="9"/>
        <v>2</v>
      </c>
      <c r="X14" s="53">
        <v>0.10258658882167279</v>
      </c>
      <c r="Y14" s="53">
        <v>1.3862943760896287</v>
      </c>
      <c r="Z14" s="53">
        <v>5.9914645471914136</v>
      </c>
      <c r="AA14" s="53">
        <f t="shared" si="10"/>
        <v>7.4000580678284605E-2</v>
      </c>
      <c r="AB14" s="53">
        <f t="shared" si="11"/>
        <v>1.285040104811463</v>
      </c>
      <c r="AC14" s="53">
        <f t="shared" si="12"/>
        <v>3.2052614432627372E-2</v>
      </c>
      <c r="AD14" s="53">
        <f t="shared" si="13"/>
        <v>0.72041079303022881</v>
      </c>
      <c r="AE14" s="54">
        <f t="shared" si="14"/>
        <v>4.4542969133958481</v>
      </c>
    </row>
    <row r="15" spans="1:39" ht="15" customHeight="1" x14ac:dyDescent="0.3">
      <c r="B15" s="49">
        <f t="shared" si="15"/>
        <v>4</v>
      </c>
      <c r="C15" s="50" t="s">
        <v>352</v>
      </c>
      <c r="D15" s="111" t="s">
        <v>4</v>
      </c>
      <c r="E15" s="51" t="s">
        <v>161</v>
      </c>
      <c r="F15" s="39">
        <v>1</v>
      </c>
      <c r="G15" s="40">
        <v>9.4</v>
      </c>
      <c r="H15" s="40">
        <v>114</v>
      </c>
      <c r="I15" s="120">
        <f t="shared" si="0"/>
        <v>1.2167194545797506</v>
      </c>
      <c r="J15" s="42">
        <f t="shared" si="1"/>
        <v>0.12943823984890965</v>
      </c>
      <c r="K15" s="41">
        <f t="shared" si="2"/>
        <v>7.7256922001355823</v>
      </c>
      <c r="L15" s="43">
        <f t="shared" si="3"/>
        <v>0.81361371398326376</v>
      </c>
      <c r="M15" s="43">
        <f t="shared" si="4"/>
        <v>9.3999999999999986</v>
      </c>
      <c r="N15" s="43">
        <f t="shared" si="5"/>
        <v>6.9953268803005546</v>
      </c>
      <c r="O15" s="43">
        <f t="shared" si="6"/>
        <v>26.196809284837354</v>
      </c>
      <c r="P15" s="44">
        <f t="shared" si="7"/>
        <v>8.5218253139379989</v>
      </c>
      <c r="Q15" s="45">
        <f t="shared" si="16"/>
        <v>0.10638297872340426</v>
      </c>
      <c r="R15" s="52">
        <v>2</v>
      </c>
      <c r="S15" s="53">
        <v>0.10258658882167279</v>
      </c>
      <c r="T15" s="53">
        <v>1.3862943760896287</v>
      </c>
      <c r="U15" s="53">
        <v>5.9914645471914136</v>
      </c>
      <c r="V15" s="53">
        <f t="shared" si="8"/>
        <v>7.4000580678284605E-2</v>
      </c>
      <c r="W15" s="52">
        <f t="shared" si="9"/>
        <v>3</v>
      </c>
      <c r="X15" s="53">
        <v>0.35184631840544622</v>
      </c>
      <c r="Y15" s="53">
        <v>2.3659738927290714</v>
      </c>
      <c r="Z15" s="53">
        <v>7.81472776394987</v>
      </c>
      <c r="AA15" s="53">
        <f t="shared" si="10"/>
        <v>0.14871098936751298</v>
      </c>
      <c r="AB15" s="53">
        <f t="shared" si="11"/>
        <v>2.4334389091595012</v>
      </c>
      <c r="AC15" s="53">
        <f t="shared" si="12"/>
        <v>0.21062545410985575</v>
      </c>
      <c r="AD15" s="53">
        <f t="shared" si="13"/>
        <v>1.810925597107736</v>
      </c>
      <c r="AE15" s="54">
        <f t="shared" si="14"/>
        <v>6.7817377669738415</v>
      </c>
    </row>
    <row r="16" spans="1:39" ht="15" customHeight="1" x14ac:dyDescent="0.3">
      <c r="B16" s="49">
        <f t="shared" si="15"/>
        <v>5</v>
      </c>
      <c r="C16" s="50" t="s">
        <v>352</v>
      </c>
      <c r="D16" s="111" t="s">
        <v>5</v>
      </c>
      <c r="E16" s="51" t="s">
        <v>355</v>
      </c>
      <c r="F16" s="39">
        <v>1</v>
      </c>
      <c r="G16" s="40">
        <v>9.6</v>
      </c>
      <c r="H16" s="40">
        <v>125</v>
      </c>
      <c r="I16" s="120">
        <f t="shared" si="0"/>
        <v>1.2018867686419936</v>
      </c>
      <c r="J16" s="42">
        <f t="shared" si="1"/>
        <v>0.12519653840020767</v>
      </c>
      <c r="K16" s="41">
        <f t="shared" si="2"/>
        <v>7.9874412885391823</v>
      </c>
      <c r="L16" s="43">
        <f t="shared" si="3"/>
        <v>0.81164812595899194</v>
      </c>
      <c r="M16" s="43">
        <f t="shared" si="4"/>
        <v>9.6</v>
      </c>
      <c r="N16" s="43">
        <f t="shared" si="5"/>
        <v>7.1162632078206389</v>
      </c>
      <c r="O16" s="43">
        <f t="shared" si="6"/>
        <v>26.868354634997626</v>
      </c>
      <c r="P16" s="44">
        <f t="shared" si="7"/>
        <v>8.7566795287926436</v>
      </c>
      <c r="Q16" s="45">
        <f t="shared" si="16"/>
        <v>0.10416666666666667</v>
      </c>
      <c r="R16" s="52">
        <v>2</v>
      </c>
      <c r="S16" s="53">
        <v>0.10258658882167279</v>
      </c>
      <c r="T16" s="53">
        <v>1.3862943760896287</v>
      </c>
      <c r="U16" s="53">
        <v>5.9914645471914136</v>
      </c>
      <c r="V16" s="53">
        <f t="shared" si="8"/>
        <v>7.4000580678284605E-2</v>
      </c>
      <c r="W16" s="52">
        <f t="shared" si="9"/>
        <v>3</v>
      </c>
      <c r="X16" s="53">
        <v>0.35184631840544622</v>
      </c>
      <c r="Y16" s="53">
        <v>2.3659738927290714</v>
      </c>
      <c r="Z16" s="53">
        <v>7.81472776394987</v>
      </c>
      <c r="AA16" s="53">
        <f t="shared" si="10"/>
        <v>0.14871098936751298</v>
      </c>
      <c r="AB16" s="53">
        <f t="shared" si="11"/>
        <v>2.4037735372839872</v>
      </c>
      <c r="AC16" s="53">
        <f t="shared" si="12"/>
        <v>0.20323107153816306</v>
      </c>
      <c r="AD16" s="53">
        <f t="shared" si="13"/>
        <v>1.7818630399278033</v>
      </c>
      <c r="AE16" s="54">
        <f t="shared" si="14"/>
        <v>6.7276499856217562</v>
      </c>
    </row>
    <row r="17" spans="2:31" ht="15" customHeight="1" x14ac:dyDescent="0.3">
      <c r="B17" s="49">
        <f t="shared" si="15"/>
        <v>6</v>
      </c>
      <c r="C17" s="50" t="s">
        <v>352</v>
      </c>
      <c r="D17" s="111" t="s">
        <v>6</v>
      </c>
      <c r="E17" s="51" t="s">
        <v>162</v>
      </c>
      <c r="F17" s="39">
        <v>1</v>
      </c>
      <c r="G17" s="40">
        <v>9.6</v>
      </c>
      <c r="H17" s="40">
        <v>125</v>
      </c>
      <c r="I17" s="120">
        <f t="shared" si="0"/>
        <v>1.2018867686419936</v>
      </c>
      <c r="J17" s="42">
        <f t="shared" si="1"/>
        <v>0.12519653840020767</v>
      </c>
      <c r="K17" s="41">
        <f t="shared" si="2"/>
        <v>7.9874412885391823</v>
      </c>
      <c r="L17" s="43">
        <f t="shared" si="3"/>
        <v>0.81164812595899194</v>
      </c>
      <c r="M17" s="43">
        <f t="shared" si="4"/>
        <v>9.6</v>
      </c>
      <c r="N17" s="43">
        <f t="shared" si="5"/>
        <v>7.1162632078206389</v>
      </c>
      <c r="O17" s="43">
        <f t="shared" si="6"/>
        <v>26.868354634997626</v>
      </c>
      <c r="P17" s="44">
        <f t="shared" si="7"/>
        <v>8.7566795287926436</v>
      </c>
      <c r="Q17" s="45">
        <f t="shared" si="16"/>
        <v>0.10416666666666667</v>
      </c>
      <c r="R17" s="52">
        <v>2</v>
      </c>
      <c r="S17" s="53">
        <v>0.10258658882167279</v>
      </c>
      <c r="T17" s="53">
        <v>1.3862943760896287</v>
      </c>
      <c r="U17" s="53">
        <v>5.9914645471914136</v>
      </c>
      <c r="V17" s="53">
        <f t="shared" si="8"/>
        <v>7.4000580678284605E-2</v>
      </c>
      <c r="W17" s="52">
        <f t="shared" si="9"/>
        <v>3</v>
      </c>
      <c r="X17" s="53">
        <v>0.35184631840544622</v>
      </c>
      <c r="Y17" s="53">
        <v>2.3659738927290714</v>
      </c>
      <c r="Z17" s="53">
        <v>7.81472776394987</v>
      </c>
      <c r="AA17" s="53">
        <f t="shared" si="10"/>
        <v>0.14871098936751298</v>
      </c>
      <c r="AB17" s="53">
        <f t="shared" si="11"/>
        <v>2.4037735372839872</v>
      </c>
      <c r="AC17" s="53">
        <f t="shared" si="12"/>
        <v>0.20323107153816306</v>
      </c>
      <c r="AD17" s="53">
        <f t="shared" si="13"/>
        <v>1.7818630399278033</v>
      </c>
      <c r="AE17" s="54">
        <f t="shared" si="14"/>
        <v>6.7276499856217562</v>
      </c>
    </row>
    <row r="18" spans="2:31" ht="15" customHeight="1" x14ac:dyDescent="0.3">
      <c r="B18" s="49">
        <f t="shared" si="15"/>
        <v>7</v>
      </c>
      <c r="C18" s="50" t="s">
        <v>352</v>
      </c>
      <c r="D18" s="111" t="s">
        <v>7</v>
      </c>
      <c r="E18" s="56" t="s">
        <v>163</v>
      </c>
      <c r="F18" s="39">
        <v>0.5</v>
      </c>
      <c r="G18" s="40">
        <v>6.8</v>
      </c>
      <c r="H18" s="40">
        <v>297</v>
      </c>
      <c r="I18" s="120">
        <f t="shared" si="0"/>
        <v>0.99639543813253484</v>
      </c>
      <c r="J18" s="42">
        <f t="shared" si="1"/>
        <v>0.14652874090184337</v>
      </c>
      <c r="K18" s="41">
        <f t="shared" si="2"/>
        <v>6.8245996918098113</v>
      </c>
      <c r="L18" s="43">
        <f t="shared" si="3"/>
        <v>0.34762933219143705</v>
      </c>
      <c r="M18" s="43">
        <f t="shared" si="4"/>
        <v>6.8</v>
      </c>
      <c r="N18" s="43">
        <f t="shared" si="5"/>
        <v>4.7075409673492459</v>
      </c>
      <c r="O18" s="43">
        <f t="shared" si="6"/>
        <v>20.391784080953073</v>
      </c>
      <c r="P18" s="44">
        <f t="shared" si="7"/>
        <v>6.8122887419946254</v>
      </c>
      <c r="Q18" s="45">
        <f t="shared" si="16"/>
        <v>7.3529411764705885E-2</v>
      </c>
      <c r="R18" s="52">
        <v>1</v>
      </c>
      <c r="S18" s="53">
        <v>3.9321400005324098E-3</v>
      </c>
      <c r="T18" s="53">
        <v>0.4549364250484666</v>
      </c>
      <c r="U18" s="53">
        <v>3.841459149489757</v>
      </c>
      <c r="V18" s="53">
        <f t="shared" si="8"/>
        <v>8.6432736180961992E-3</v>
      </c>
      <c r="W18" s="52">
        <f t="shared" si="9"/>
        <v>2</v>
      </c>
      <c r="X18" s="53">
        <v>0.10258658882167279</v>
      </c>
      <c r="Y18" s="53">
        <v>1.3862943760896287</v>
      </c>
      <c r="Z18" s="53">
        <v>5.9914645471914136</v>
      </c>
      <c r="AA18" s="53">
        <f t="shared" si="10"/>
        <v>7.4000580678284605E-2</v>
      </c>
      <c r="AB18" s="53">
        <f t="shared" si="11"/>
        <v>1.9927908762650697</v>
      </c>
      <c r="AC18" s="53">
        <f t="shared" si="12"/>
        <v>0.10187537669311984</v>
      </c>
      <c r="AD18" s="53">
        <f t="shared" si="13"/>
        <v>1.3795801013790616</v>
      </c>
      <c r="AE18" s="54">
        <f t="shared" si="14"/>
        <v>5.9759648922486139</v>
      </c>
    </row>
    <row r="19" spans="2:31" ht="15" customHeight="1" x14ac:dyDescent="0.3">
      <c r="B19" s="49">
        <f t="shared" si="15"/>
        <v>8</v>
      </c>
      <c r="C19" s="50" t="s">
        <v>352</v>
      </c>
      <c r="D19" s="111" t="s">
        <v>8</v>
      </c>
      <c r="E19" s="51" t="s">
        <v>164</v>
      </c>
      <c r="F19" s="39"/>
      <c r="G19" s="40"/>
      <c r="H19" s="40"/>
      <c r="I19" s="120" t="e">
        <f t="shared" si="0"/>
        <v>#DIV/0!</v>
      </c>
      <c r="J19" s="42" t="e">
        <f t="shared" si="1"/>
        <v>#DIV/0!</v>
      </c>
      <c r="K19" s="41" t="e">
        <f t="shared" si="2"/>
        <v>#DIV/0!</v>
      </c>
      <c r="L19" s="43" t="e">
        <f t="shared" si="3"/>
        <v>#DIV/0!</v>
      </c>
      <c r="M19" s="43" t="e">
        <f t="shared" si="4"/>
        <v>#DIV/0!</v>
      </c>
      <c r="N19" s="43" t="e">
        <f t="shared" si="5"/>
        <v>#DIV/0!</v>
      </c>
      <c r="O19" s="43" t="e">
        <f t="shared" si="6"/>
        <v>#DIV/0!</v>
      </c>
      <c r="P19" s="44" t="e">
        <f t="shared" si="7"/>
        <v>#DIV/0!</v>
      </c>
      <c r="Q19" s="45" t="e">
        <f t="shared" si="16"/>
        <v>#DIV/0!</v>
      </c>
      <c r="R19" s="52" t="e">
        <v>#DIV/0!</v>
      </c>
      <c r="S19" s="53" t="e">
        <v>#DIV/0!</v>
      </c>
      <c r="T19" s="53" t="e">
        <v>#DIV/0!</v>
      </c>
      <c r="U19" s="53" t="e">
        <v>#DIV/0!</v>
      </c>
      <c r="V19" s="53" t="e">
        <f t="shared" si="8"/>
        <v>#DIV/0!</v>
      </c>
      <c r="W19" s="52" t="e">
        <f t="shared" si="9"/>
        <v>#DIV/0!</v>
      </c>
      <c r="X19" s="53" t="e">
        <v>#DIV/0!</v>
      </c>
      <c r="Y19" s="53" t="e">
        <v>#DIV/0!</v>
      </c>
      <c r="Z19" s="53" t="e">
        <v>#DIV/0!</v>
      </c>
      <c r="AA19" s="53" t="e">
        <f t="shared" si="10"/>
        <v>#DIV/0!</v>
      </c>
      <c r="AB19" s="53" t="e">
        <f t="shared" si="11"/>
        <v>#DIV/0!</v>
      </c>
      <c r="AC19" s="53" t="e">
        <f t="shared" si="12"/>
        <v>#DIV/0!</v>
      </c>
      <c r="AD19" s="53" t="e">
        <f t="shared" si="13"/>
        <v>#DIV/0!</v>
      </c>
      <c r="AE19" s="54" t="e">
        <f t="shared" si="14"/>
        <v>#DIV/0!</v>
      </c>
    </row>
    <row r="20" spans="2:31" ht="15" customHeight="1" x14ac:dyDescent="0.3">
      <c r="B20" s="49">
        <f t="shared" si="15"/>
        <v>9</v>
      </c>
      <c r="C20" s="50" t="s">
        <v>352</v>
      </c>
      <c r="D20" s="111" t="s">
        <v>9</v>
      </c>
      <c r="E20" s="51" t="s">
        <v>165</v>
      </c>
      <c r="F20" s="39"/>
      <c r="G20" s="40"/>
      <c r="H20" s="40"/>
      <c r="I20" s="120" t="e">
        <f t="shared" si="0"/>
        <v>#DIV/0!</v>
      </c>
      <c r="J20" s="42" t="e">
        <f t="shared" si="1"/>
        <v>#DIV/0!</v>
      </c>
      <c r="K20" s="41" t="e">
        <f t="shared" si="2"/>
        <v>#DIV/0!</v>
      </c>
      <c r="L20" s="43" t="e">
        <f t="shared" si="3"/>
        <v>#DIV/0!</v>
      </c>
      <c r="M20" s="43" t="e">
        <f t="shared" si="4"/>
        <v>#DIV/0!</v>
      </c>
      <c r="N20" s="43" t="e">
        <f t="shared" si="5"/>
        <v>#DIV/0!</v>
      </c>
      <c r="O20" s="43" t="e">
        <f t="shared" si="6"/>
        <v>#DIV/0!</v>
      </c>
      <c r="P20" s="44" t="e">
        <f t="shared" si="7"/>
        <v>#DIV/0!</v>
      </c>
      <c r="Q20" s="45" t="e">
        <f t="shared" si="16"/>
        <v>#DIV/0!</v>
      </c>
      <c r="R20" s="52" t="e">
        <v>#DIV/0!</v>
      </c>
      <c r="S20" s="53" t="e">
        <v>#DIV/0!</v>
      </c>
      <c r="T20" s="53" t="e">
        <v>#DIV/0!</v>
      </c>
      <c r="U20" s="53" t="e">
        <v>#DIV/0!</v>
      </c>
      <c r="V20" s="53" t="e">
        <f t="shared" si="8"/>
        <v>#DIV/0!</v>
      </c>
      <c r="W20" s="52" t="e">
        <f t="shared" si="9"/>
        <v>#DIV/0!</v>
      </c>
      <c r="X20" s="53" t="e">
        <v>#DIV/0!</v>
      </c>
      <c r="Y20" s="53" t="e">
        <v>#DIV/0!</v>
      </c>
      <c r="Z20" s="53" t="e">
        <v>#DIV/0!</v>
      </c>
      <c r="AA20" s="53" t="e">
        <f t="shared" si="10"/>
        <v>#DIV/0!</v>
      </c>
      <c r="AB20" s="53" t="e">
        <f t="shared" si="11"/>
        <v>#DIV/0!</v>
      </c>
      <c r="AC20" s="53" t="e">
        <f t="shared" si="12"/>
        <v>#DIV/0!</v>
      </c>
      <c r="AD20" s="53" t="e">
        <f t="shared" si="13"/>
        <v>#DIV/0!</v>
      </c>
      <c r="AE20" s="54" t="e">
        <f t="shared" si="14"/>
        <v>#DIV/0!</v>
      </c>
    </row>
    <row r="21" spans="2:31" ht="15" customHeight="1" x14ac:dyDescent="0.3">
      <c r="B21" s="49">
        <f t="shared" si="15"/>
        <v>10</v>
      </c>
      <c r="C21" s="50" t="s">
        <v>352</v>
      </c>
      <c r="D21" s="111" t="s">
        <v>10</v>
      </c>
      <c r="E21" s="51" t="s">
        <v>166</v>
      </c>
      <c r="F21" s="39">
        <v>1</v>
      </c>
      <c r="G21" s="40">
        <v>9.6</v>
      </c>
      <c r="H21" s="40">
        <v>125</v>
      </c>
      <c r="I21" s="120">
        <f t="shared" si="0"/>
        <v>1.2018867686419936</v>
      </c>
      <c r="J21" s="42">
        <f t="shared" si="1"/>
        <v>0.12519653840020767</v>
      </c>
      <c r="K21" s="41">
        <f t="shared" si="2"/>
        <v>7.9874412885391823</v>
      </c>
      <c r="L21" s="43">
        <f t="shared" si="3"/>
        <v>0.81164812595899194</v>
      </c>
      <c r="M21" s="43">
        <f t="shared" si="4"/>
        <v>9.6</v>
      </c>
      <c r="N21" s="43">
        <f t="shared" si="5"/>
        <v>7.1162632078206389</v>
      </c>
      <c r="O21" s="43">
        <f t="shared" si="6"/>
        <v>26.868354634997626</v>
      </c>
      <c r="P21" s="44">
        <f t="shared" si="7"/>
        <v>8.7566795287926436</v>
      </c>
      <c r="Q21" s="45">
        <f t="shared" si="16"/>
        <v>0.10416666666666667</v>
      </c>
      <c r="R21" s="52">
        <v>2</v>
      </c>
      <c r="S21" s="53">
        <v>0.10258658882167279</v>
      </c>
      <c r="T21" s="53">
        <v>1.3862943760896287</v>
      </c>
      <c r="U21" s="53">
        <v>5.9914645471914136</v>
      </c>
      <c r="V21" s="53">
        <f t="shared" si="8"/>
        <v>7.4000580678284605E-2</v>
      </c>
      <c r="W21" s="52">
        <f t="shared" si="9"/>
        <v>3</v>
      </c>
      <c r="X21" s="53">
        <v>0.35184631840544622</v>
      </c>
      <c r="Y21" s="53">
        <v>2.3659738927290714</v>
      </c>
      <c r="Z21" s="53">
        <v>7.81472776394987</v>
      </c>
      <c r="AA21" s="53">
        <f t="shared" si="10"/>
        <v>0.14871098936751298</v>
      </c>
      <c r="AB21" s="53">
        <f t="shared" si="11"/>
        <v>2.4037735372839872</v>
      </c>
      <c r="AC21" s="53">
        <f t="shared" si="12"/>
        <v>0.20323107153816306</v>
      </c>
      <c r="AD21" s="53">
        <f t="shared" si="13"/>
        <v>1.7818630399278033</v>
      </c>
      <c r="AE21" s="54">
        <f t="shared" si="14"/>
        <v>6.7276499856217562</v>
      </c>
    </row>
    <row r="22" spans="2:31" ht="15" customHeight="1" x14ac:dyDescent="0.3">
      <c r="B22" s="49">
        <f t="shared" si="15"/>
        <v>11</v>
      </c>
      <c r="C22" s="50" t="s">
        <v>352</v>
      </c>
      <c r="D22" s="111" t="s">
        <v>11</v>
      </c>
      <c r="E22" s="51" t="s">
        <v>167</v>
      </c>
      <c r="F22" s="39">
        <v>1</v>
      </c>
      <c r="G22" s="40">
        <v>9.6</v>
      </c>
      <c r="H22" s="40">
        <v>125</v>
      </c>
      <c r="I22" s="120">
        <f t="shared" si="0"/>
        <v>1.2018867686419936</v>
      </c>
      <c r="J22" s="42">
        <f t="shared" si="1"/>
        <v>0.12519653840020767</v>
      </c>
      <c r="K22" s="41">
        <f t="shared" si="2"/>
        <v>7.9874412885391823</v>
      </c>
      <c r="L22" s="43">
        <f t="shared" si="3"/>
        <v>0.81164812595899194</v>
      </c>
      <c r="M22" s="43">
        <f t="shared" si="4"/>
        <v>9.6</v>
      </c>
      <c r="N22" s="43">
        <f t="shared" si="5"/>
        <v>7.1162632078206389</v>
      </c>
      <c r="O22" s="43">
        <f t="shared" si="6"/>
        <v>26.868354634997626</v>
      </c>
      <c r="P22" s="44">
        <f t="shared" si="7"/>
        <v>8.7566795287926436</v>
      </c>
      <c r="Q22" s="45">
        <f t="shared" si="16"/>
        <v>0.10416666666666667</v>
      </c>
      <c r="R22" s="52">
        <v>2</v>
      </c>
      <c r="S22" s="53">
        <v>0.10258658882167279</v>
      </c>
      <c r="T22" s="53">
        <v>1.3862943760896287</v>
      </c>
      <c r="U22" s="53">
        <v>5.9914645471914136</v>
      </c>
      <c r="V22" s="53">
        <f t="shared" si="8"/>
        <v>7.4000580678284605E-2</v>
      </c>
      <c r="W22" s="52">
        <f t="shared" si="9"/>
        <v>3</v>
      </c>
      <c r="X22" s="53">
        <v>0.35184631840544622</v>
      </c>
      <c r="Y22" s="53">
        <v>2.3659738927290714</v>
      </c>
      <c r="Z22" s="53">
        <v>7.81472776394987</v>
      </c>
      <c r="AA22" s="53">
        <f t="shared" si="10"/>
        <v>0.14871098936751298</v>
      </c>
      <c r="AB22" s="53">
        <f t="shared" si="11"/>
        <v>2.4037735372839872</v>
      </c>
      <c r="AC22" s="53">
        <f t="shared" si="12"/>
        <v>0.20323107153816306</v>
      </c>
      <c r="AD22" s="53">
        <f t="shared" si="13"/>
        <v>1.7818630399278033</v>
      </c>
      <c r="AE22" s="54">
        <f t="shared" si="14"/>
        <v>6.7276499856217562</v>
      </c>
    </row>
    <row r="23" spans="2:31" ht="15" customHeight="1" x14ac:dyDescent="0.3">
      <c r="B23" s="49">
        <f t="shared" si="15"/>
        <v>12</v>
      </c>
      <c r="C23" s="50" t="s">
        <v>352</v>
      </c>
      <c r="D23" s="111" t="s">
        <v>12</v>
      </c>
      <c r="E23" s="51" t="s">
        <v>163</v>
      </c>
      <c r="F23" s="39">
        <v>0.5</v>
      </c>
      <c r="G23" s="40">
        <v>6.8</v>
      </c>
      <c r="H23" s="40">
        <v>297</v>
      </c>
      <c r="I23" s="120">
        <f t="shared" si="0"/>
        <v>0.99639543813253484</v>
      </c>
      <c r="J23" s="42">
        <f t="shared" si="1"/>
        <v>0.14652874090184337</v>
      </c>
      <c r="K23" s="41">
        <f t="shared" si="2"/>
        <v>6.8245996918098113</v>
      </c>
      <c r="L23" s="43">
        <f t="shared" si="3"/>
        <v>0.34762933219143705</v>
      </c>
      <c r="M23" s="43">
        <f t="shared" si="4"/>
        <v>6.8</v>
      </c>
      <c r="N23" s="43">
        <f t="shared" si="5"/>
        <v>4.7075409673492459</v>
      </c>
      <c r="O23" s="43">
        <f t="shared" si="6"/>
        <v>20.391784080953073</v>
      </c>
      <c r="P23" s="44">
        <f t="shared" si="7"/>
        <v>6.8122887419946254</v>
      </c>
      <c r="Q23" s="45">
        <f t="shared" si="16"/>
        <v>7.3529411764705885E-2</v>
      </c>
      <c r="R23" s="52">
        <v>1</v>
      </c>
      <c r="S23" s="53">
        <v>3.9321400005324098E-3</v>
      </c>
      <c r="T23" s="53">
        <v>0.4549364250484666</v>
      </c>
      <c r="U23" s="53">
        <v>3.841459149489757</v>
      </c>
      <c r="V23" s="53">
        <f t="shared" si="8"/>
        <v>8.6432736180961992E-3</v>
      </c>
      <c r="W23" s="52">
        <f t="shared" si="9"/>
        <v>2</v>
      </c>
      <c r="X23" s="53">
        <v>0.10258658882167279</v>
      </c>
      <c r="Y23" s="53">
        <v>1.3862943760896287</v>
      </c>
      <c r="Z23" s="53">
        <v>5.9914645471914136</v>
      </c>
      <c r="AA23" s="53">
        <f t="shared" si="10"/>
        <v>7.4000580678284605E-2</v>
      </c>
      <c r="AB23" s="53">
        <f t="shared" si="11"/>
        <v>1.9927908762650697</v>
      </c>
      <c r="AC23" s="53">
        <f t="shared" si="12"/>
        <v>0.10187537669311984</v>
      </c>
      <c r="AD23" s="53">
        <f t="shared" si="13"/>
        <v>1.3795801013790616</v>
      </c>
      <c r="AE23" s="54">
        <f t="shared" si="14"/>
        <v>5.9759648922486139</v>
      </c>
    </row>
    <row r="24" spans="2:31" ht="15" customHeight="1" x14ac:dyDescent="0.3">
      <c r="B24" s="49">
        <f t="shared" si="15"/>
        <v>13</v>
      </c>
      <c r="C24" s="50" t="s">
        <v>356</v>
      </c>
      <c r="D24" s="111" t="s">
        <v>13</v>
      </c>
      <c r="E24" s="51" t="s">
        <v>357</v>
      </c>
      <c r="F24" s="116">
        <v>1</v>
      </c>
      <c r="G24" s="117">
        <v>20</v>
      </c>
      <c r="H24" s="117">
        <v>125</v>
      </c>
      <c r="I24" s="120">
        <f t="shared" si="0"/>
        <v>0.81638946157786041</v>
      </c>
      <c r="J24" s="42">
        <f t="shared" si="1"/>
        <v>4.0819473078893019E-2</v>
      </c>
      <c r="K24" s="57">
        <f t="shared" si="2"/>
        <v>24.498111429985144</v>
      </c>
      <c r="L24" s="43">
        <f t="shared" si="3"/>
        <v>0.81283013822644812</v>
      </c>
      <c r="M24" s="43">
        <f t="shared" si="4"/>
        <v>20</v>
      </c>
      <c r="N24" s="43">
        <f t="shared" si="5"/>
        <v>12.791445205116931</v>
      </c>
      <c r="O24" s="43">
        <f t="shared" si="6"/>
        <v>63.718819199018789</v>
      </c>
      <c r="P24" s="44">
        <f t="shared" si="7"/>
        <v>22.13509043576969</v>
      </c>
      <c r="Q24" s="45">
        <f t="shared" si="16"/>
        <v>0.05</v>
      </c>
      <c r="R24" s="52">
        <v>1</v>
      </c>
      <c r="S24" s="53">
        <v>3.9321400005324098E-3</v>
      </c>
      <c r="T24" s="53">
        <v>0.4549364250484666</v>
      </c>
      <c r="U24" s="53">
        <v>3.841459149489757</v>
      </c>
      <c r="V24" s="53">
        <f t="shared" si="8"/>
        <v>8.6432736180961992E-3</v>
      </c>
      <c r="W24" s="52">
        <f t="shared" si="9"/>
        <v>2</v>
      </c>
      <c r="X24" s="53">
        <v>0.10258658882167279</v>
      </c>
      <c r="Y24" s="53">
        <v>1.3862943760896287</v>
      </c>
      <c r="Z24" s="53">
        <v>5.9914645471914136</v>
      </c>
      <c r="AA24" s="53">
        <f t="shared" si="10"/>
        <v>7.4000580678284605E-2</v>
      </c>
      <c r="AB24" s="53">
        <f t="shared" si="11"/>
        <v>1.6327789231557208</v>
      </c>
      <c r="AC24" s="53">
        <f t="shared" si="12"/>
        <v>6.6358595890094782E-2</v>
      </c>
      <c r="AD24" s="53">
        <f t="shared" si="13"/>
        <v>1.0442801063808116</v>
      </c>
      <c r="AE24" s="54">
        <f t="shared" si="14"/>
        <v>5.2019372498263987</v>
      </c>
    </row>
    <row r="25" spans="2:31" ht="15" customHeight="1" x14ac:dyDescent="0.3">
      <c r="B25" s="49">
        <f t="shared" si="15"/>
        <v>14</v>
      </c>
      <c r="C25" s="50" t="s">
        <v>356</v>
      </c>
      <c r="D25" s="111" t="s">
        <v>14</v>
      </c>
      <c r="E25" s="51" t="s">
        <v>168</v>
      </c>
      <c r="F25" s="39">
        <v>1</v>
      </c>
      <c r="G25" s="40">
        <v>20</v>
      </c>
      <c r="H25" s="40">
        <v>125</v>
      </c>
      <c r="I25" s="120">
        <f t="shared" si="0"/>
        <v>0.81638946157786041</v>
      </c>
      <c r="J25" s="42">
        <f t="shared" si="1"/>
        <v>4.0819473078893019E-2</v>
      </c>
      <c r="K25" s="41">
        <f t="shared" si="2"/>
        <v>24.498111429985144</v>
      </c>
      <c r="L25" s="43">
        <f t="shared" si="3"/>
        <v>0.81283013822644812</v>
      </c>
      <c r="M25" s="43">
        <f t="shared" si="4"/>
        <v>20</v>
      </c>
      <c r="N25" s="43">
        <f t="shared" si="5"/>
        <v>12.791445205116931</v>
      </c>
      <c r="O25" s="43">
        <f t="shared" si="6"/>
        <v>63.718819199018789</v>
      </c>
      <c r="P25" s="44">
        <f t="shared" si="7"/>
        <v>22.13509043576969</v>
      </c>
      <c r="Q25" s="45">
        <f t="shared" si="16"/>
        <v>0.05</v>
      </c>
      <c r="R25" s="52">
        <v>1</v>
      </c>
      <c r="S25" s="53">
        <v>3.9321400005324098E-3</v>
      </c>
      <c r="T25" s="53">
        <v>0.4549364250484666</v>
      </c>
      <c r="U25" s="53">
        <v>3.841459149489757</v>
      </c>
      <c r="V25" s="53">
        <f t="shared" si="8"/>
        <v>8.6432736180961992E-3</v>
      </c>
      <c r="W25" s="52">
        <f t="shared" si="9"/>
        <v>2</v>
      </c>
      <c r="X25" s="53">
        <v>0.10258658882167279</v>
      </c>
      <c r="Y25" s="53">
        <v>1.3862943760896287</v>
      </c>
      <c r="Z25" s="53">
        <v>5.9914645471914136</v>
      </c>
      <c r="AA25" s="53">
        <f t="shared" si="10"/>
        <v>7.4000580678284605E-2</v>
      </c>
      <c r="AB25" s="53">
        <f t="shared" si="11"/>
        <v>1.6327789231557208</v>
      </c>
      <c r="AC25" s="53">
        <f t="shared" si="12"/>
        <v>6.6358595890094782E-2</v>
      </c>
      <c r="AD25" s="53">
        <f t="shared" si="13"/>
        <v>1.0442801063808116</v>
      </c>
      <c r="AE25" s="54">
        <f t="shared" si="14"/>
        <v>5.2019372498263987</v>
      </c>
    </row>
    <row r="26" spans="2:31" ht="15" customHeight="1" x14ac:dyDescent="0.3">
      <c r="B26" s="49">
        <f t="shared" si="15"/>
        <v>15</v>
      </c>
      <c r="C26" s="50" t="s">
        <v>356</v>
      </c>
      <c r="D26" s="111" t="s">
        <v>15</v>
      </c>
      <c r="E26" s="51" t="s">
        <v>169</v>
      </c>
      <c r="F26" s="39">
        <v>1</v>
      </c>
      <c r="G26" s="40">
        <v>20</v>
      </c>
      <c r="H26" s="40">
        <v>125</v>
      </c>
      <c r="I26" s="120">
        <f t="shared" si="0"/>
        <v>0.81638946157786041</v>
      </c>
      <c r="J26" s="42">
        <f t="shared" si="1"/>
        <v>4.0819473078893019E-2</v>
      </c>
      <c r="K26" s="41">
        <f t="shared" si="2"/>
        <v>24.498111429985144</v>
      </c>
      <c r="L26" s="43">
        <f t="shared" si="3"/>
        <v>0.81283013822644812</v>
      </c>
      <c r="M26" s="43">
        <f t="shared" si="4"/>
        <v>20</v>
      </c>
      <c r="N26" s="43">
        <f t="shared" si="5"/>
        <v>12.791445205116931</v>
      </c>
      <c r="O26" s="43">
        <f t="shared" si="6"/>
        <v>63.718819199018789</v>
      </c>
      <c r="P26" s="44">
        <f t="shared" si="7"/>
        <v>22.13509043576969</v>
      </c>
      <c r="Q26" s="45">
        <f t="shared" si="16"/>
        <v>0.05</v>
      </c>
      <c r="R26" s="52">
        <v>1</v>
      </c>
      <c r="S26" s="53">
        <v>3.9321400005324098E-3</v>
      </c>
      <c r="T26" s="53">
        <v>0.4549364250484666</v>
      </c>
      <c r="U26" s="53">
        <v>3.841459149489757</v>
      </c>
      <c r="V26" s="53">
        <f t="shared" si="8"/>
        <v>8.6432736180961992E-3</v>
      </c>
      <c r="W26" s="52">
        <f t="shared" si="9"/>
        <v>2</v>
      </c>
      <c r="X26" s="53">
        <v>0.10258658882167279</v>
      </c>
      <c r="Y26" s="53">
        <v>1.3862943760896287</v>
      </c>
      <c r="Z26" s="53">
        <v>5.9914645471914136</v>
      </c>
      <c r="AA26" s="53">
        <f t="shared" si="10"/>
        <v>7.4000580678284605E-2</v>
      </c>
      <c r="AB26" s="53">
        <f t="shared" si="11"/>
        <v>1.6327789231557208</v>
      </c>
      <c r="AC26" s="53">
        <f t="shared" si="12"/>
        <v>6.6358595890094782E-2</v>
      </c>
      <c r="AD26" s="53">
        <f t="shared" si="13"/>
        <v>1.0442801063808116</v>
      </c>
      <c r="AE26" s="54">
        <f t="shared" si="14"/>
        <v>5.2019372498263987</v>
      </c>
    </row>
    <row r="27" spans="2:31" ht="15" customHeight="1" x14ac:dyDescent="0.3">
      <c r="B27" s="49">
        <f t="shared" si="15"/>
        <v>16</v>
      </c>
      <c r="C27" s="50" t="s">
        <v>356</v>
      </c>
      <c r="D27" s="111" t="s">
        <v>16</v>
      </c>
      <c r="E27" s="51" t="s">
        <v>170</v>
      </c>
      <c r="F27" s="39">
        <v>1</v>
      </c>
      <c r="G27" s="40">
        <v>20</v>
      </c>
      <c r="H27" s="40">
        <v>125</v>
      </c>
      <c r="I27" s="120">
        <f t="shared" si="0"/>
        <v>0.81638946157786041</v>
      </c>
      <c r="J27" s="42">
        <f t="shared" si="1"/>
        <v>4.0819473078893019E-2</v>
      </c>
      <c r="K27" s="41">
        <f t="shared" si="2"/>
        <v>24.498111429985144</v>
      </c>
      <c r="L27" s="43">
        <f t="shared" si="3"/>
        <v>0.81283013822644812</v>
      </c>
      <c r="M27" s="43">
        <f t="shared" si="4"/>
        <v>20</v>
      </c>
      <c r="N27" s="43">
        <f t="shared" si="5"/>
        <v>12.791445205116931</v>
      </c>
      <c r="O27" s="43">
        <f t="shared" si="6"/>
        <v>63.718819199018789</v>
      </c>
      <c r="P27" s="44">
        <f t="shared" si="7"/>
        <v>22.13509043576969</v>
      </c>
      <c r="Q27" s="45">
        <f t="shared" si="16"/>
        <v>0.05</v>
      </c>
      <c r="R27" s="52">
        <v>1</v>
      </c>
      <c r="S27" s="53">
        <v>3.9321400005324098E-3</v>
      </c>
      <c r="T27" s="53">
        <v>0.4549364250484666</v>
      </c>
      <c r="U27" s="53">
        <v>3.841459149489757</v>
      </c>
      <c r="V27" s="53">
        <f t="shared" si="8"/>
        <v>8.6432736180961992E-3</v>
      </c>
      <c r="W27" s="52">
        <f t="shared" si="9"/>
        <v>2</v>
      </c>
      <c r="X27" s="53">
        <v>0.10258658882167279</v>
      </c>
      <c r="Y27" s="53">
        <v>1.3862943760896287</v>
      </c>
      <c r="Z27" s="53">
        <v>5.9914645471914136</v>
      </c>
      <c r="AA27" s="53">
        <f t="shared" si="10"/>
        <v>7.4000580678284605E-2</v>
      </c>
      <c r="AB27" s="53">
        <f t="shared" si="11"/>
        <v>1.6327789231557208</v>
      </c>
      <c r="AC27" s="53">
        <f t="shared" si="12"/>
        <v>6.6358595890094782E-2</v>
      </c>
      <c r="AD27" s="53">
        <f t="shared" si="13"/>
        <v>1.0442801063808116</v>
      </c>
      <c r="AE27" s="54">
        <f t="shared" si="14"/>
        <v>5.2019372498263987</v>
      </c>
    </row>
    <row r="28" spans="2:31" ht="15" customHeight="1" x14ac:dyDescent="0.3">
      <c r="B28" s="49">
        <f t="shared" si="15"/>
        <v>17</v>
      </c>
      <c r="C28" s="50" t="s">
        <v>356</v>
      </c>
      <c r="D28" s="111" t="s">
        <v>17</v>
      </c>
      <c r="E28" s="51" t="s">
        <v>171</v>
      </c>
      <c r="F28" s="116"/>
      <c r="G28" s="117"/>
      <c r="H28" s="117"/>
      <c r="I28" s="120" t="e">
        <f t="shared" si="0"/>
        <v>#DIV/0!</v>
      </c>
      <c r="J28" s="42" t="e">
        <f t="shared" si="1"/>
        <v>#DIV/0!</v>
      </c>
      <c r="K28" s="41" t="e">
        <f t="shared" si="2"/>
        <v>#DIV/0!</v>
      </c>
      <c r="L28" s="43" t="e">
        <f t="shared" si="3"/>
        <v>#DIV/0!</v>
      </c>
      <c r="M28" s="43" t="e">
        <f t="shared" si="4"/>
        <v>#DIV/0!</v>
      </c>
      <c r="N28" s="43" t="e">
        <f t="shared" si="5"/>
        <v>#DIV/0!</v>
      </c>
      <c r="O28" s="43" t="e">
        <f t="shared" si="6"/>
        <v>#DIV/0!</v>
      </c>
      <c r="P28" s="44" t="e">
        <f t="shared" si="7"/>
        <v>#DIV/0!</v>
      </c>
      <c r="Q28" s="45" t="e">
        <f t="shared" si="16"/>
        <v>#DIV/0!</v>
      </c>
      <c r="R28" s="52" t="e">
        <v>#DIV/0!</v>
      </c>
      <c r="S28" s="53" t="e">
        <v>#DIV/0!</v>
      </c>
      <c r="T28" s="53" t="e">
        <v>#DIV/0!</v>
      </c>
      <c r="U28" s="53" t="e">
        <v>#DIV/0!</v>
      </c>
      <c r="V28" s="53" t="e">
        <f t="shared" si="8"/>
        <v>#DIV/0!</v>
      </c>
      <c r="W28" s="52" t="e">
        <f t="shared" si="9"/>
        <v>#DIV/0!</v>
      </c>
      <c r="X28" s="53" t="e">
        <v>#DIV/0!</v>
      </c>
      <c r="Y28" s="53" t="e">
        <v>#DIV/0!</v>
      </c>
      <c r="Z28" s="53" t="e">
        <v>#DIV/0!</v>
      </c>
      <c r="AA28" s="53" t="e">
        <f t="shared" si="10"/>
        <v>#DIV/0!</v>
      </c>
      <c r="AB28" s="53" t="e">
        <f t="shared" si="11"/>
        <v>#DIV/0!</v>
      </c>
      <c r="AC28" s="53" t="e">
        <f t="shared" si="12"/>
        <v>#DIV/0!</v>
      </c>
      <c r="AD28" s="53" t="e">
        <f t="shared" si="13"/>
        <v>#DIV/0!</v>
      </c>
      <c r="AE28" s="54" t="e">
        <f t="shared" si="14"/>
        <v>#DIV/0!</v>
      </c>
    </row>
    <row r="29" spans="2:31" ht="15" customHeight="1" x14ac:dyDescent="0.3">
      <c r="B29" s="49">
        <f t="shared" si="15"/>
        <v>18</v>
      </c>
      <c r="C29" s="50" t="s">
        <v>356</v>
      </c>
      <c r="D29" s="111" t="s">
        <v>18</v>
      </c>
      <c r="E29" s="51" t="s">
        <v>172</v>
      </c>
      <c r="F29" s="116"/>
      <c r="G29" s="117"/>
      <c r="H29" s="117"/>
      <c r="I29" s="120" t="e">
        <f t="shared" si="0"/>
        <v>#DIV/0!</v>
      </c>
      <c r="J29" s="42" t="e">
        <f t="shared" si="1"/>
        <v>#DIV/0!</v>
      </c>
      <c r="K29" s="41" t="e">
        <f t="shared" si="2"/>
        <v>#DIV/0!</v>
      </c>
      <c r="L29" s="43" t="e">
        <f t="shared" si="3"/>
        <v>#DIV/0!</v>
      </c>
      <c r="M29" s="43" t="e">
        <f t="shared" si="4"/>
        <v>#DIV/0!</v>
      </c>
      <c r="N29" s="43" t="e">
        <f t="shared" si="5"/>
        <v>#DIV/0!</v>
      </c>
      <c r="O29" s="43" t="e">
        <f t="shared" si="6"/>
        <v>#DIV/0!</v>
      </c>
      <c r="P29" s="44" t="e">
        <f t="shared" si="7"/>
        <v>#DIV/0!</v>
      </c>
      <c r="Q29" s="45" t="e">
        <f t="shared" si="16"/>
        <v>#DIV/0!</v>
      </c>
      <c r="R29" s="52" t="e">
        <v>#DIV/0!</v>
      </c>
      <c r="S29" s="53" t="e">
        <v>#DIV/0!</v>
      </c>
      <c r="T29" s="53" t="e">
        <v>#DIV/0!</v>
      </c>
      <c r="U29" s="53" t="e">
        <v>#DIV/0!</v>
      </c>
      <c r="V29" s="53" t="e">
        <f t="shared" si="8"/>
        <v>#DIV/0!</v>
      </c>
      <c r="W29" s="52" t="e">
        <f t="shared" si="9"/>
        <v>#DIV/0!</v>
      </c>
      <c r="X29" s="53" t="e">
        <v>#DIV/0!</v>
      </c>
      <c r="Y29" s="53" t="e">
        <v>#DIV/0!</v>
      </c>
      <c r="Z29" s="53" t="e">
        <v>#DIV/0!</v>
      </c>
      <c r="AA29" s="53" t="e">
        <f t="shared" si="10"/>
        <v>#DIV/0!</v>
      </c>
      <c r="AB29" s="53" t="e">
        <f t="shared" si="11"/>
        <v>#DIV/0!</v>
      </c>
      <c r="AC29" s="53" t="e">
        <f t="shared" si="12"/>
        <v>#DIV/0!</v>
      </c>
      <c r="AD29" s="53" t="e">
        <f t="shared" si="13"/>
        <v>#DIV/0!</v>
      </c>
      <c r="AE29" s="54" t="e">
        <f t="shared" si="14"/>
        <v>#DIV/0!</v>
      </c>
    </row>
    <row r="30" spans="2:31" ht="15" customHeight="1" x14ac:dyDescent="0.3">
      <c r="B30" s="49">
        <f t="shared" si="15"/>
        <v>19</v>
      </c>
      <c r="C30" s="50" t="s">
        <v>356</v>
      </c>
      <c r="D30" s="111" t="s">
        <v>19</v>
      </c>
      <c r="E30" s="51" t="s">
        <v>173</v>
      </c>
      <c r="F30" s="116"/>
      <c r="G30" s="117"/>
      <c r="H30" s="117"/>
      <c r="I30" s="120" t="e">
        <f t="shared" si="0"/>
        <v>#DIV/0!</v>
      </c>
      <c r="J30" s="42" t="e">
        <f t="shared" si="1"/>
        <v>#DIV/0!</v>
      </c>
      <c r="K30" s="41" t="e">
        <f t="shared" si="2"/>
        <v>#DIV/0!</v>
      </c>
      <c r="L30" s="43" t="e">
        <f t="shared" si="3"/>
        <v>#DIV/0!</v>
      </c>
      <c r="M30" s="43" t="e">
        <f t="shared" si="4"/>
        <v>#DIV/0!</v>
      </c>
      <c r="N30" s="43" t="e">
        <f t="shared" si="5"/>
        <v>#DIV/0!</v>
      </c>
      <c r="O30" s="43" t="e">
        <f t="shared" si="6"/>
        <v>#DIV/0!</v>
      </c>
      <c r="P30" s="44" t="e">
        <f t="shared" si="7"/>
        <v>#DIV/0!</v>
      </c>
      <c r="Q30" s="45" t="e">
        <f t="shared" si="16"/>
        <v>#DIV/0!</v>
      </c>
      <c r="R30" s="52" t="e">
        <v>#DIV/0!</v>
      </c>
      <c r="S30" s="53" t="e">
        <v>#DIV/0!</v>
      </c>
      <c r="T30" s="53" t="e">
        <v>#DIV/0!</v>
      </c>
      <c r="U30" s="53" t="e">
        <v>#DIV/0!</v>
      </c>
      <c r="V30" s="53" t="e">
        <f t="shared" si="8"/>
        <v>#DIV/0!</v>
      </c>
      <c r="W30" s="52" t="e">
        <f t="shared" si="9"/>
        <v>#DIV/0!</v>
      </c>
      <c r="X30" s="53" t="e">
        <v>#DIV/0!</v>
      </c>
      <c r="Y30" s="53" t="e">
        <v>#DIV/0!</v>
      </c>
      <c r="Z30" s="53" t="e">
        <v>#DIV/0!</v>
      </c>
      <c r="AA30" s="53" t="e">
        <f t="shared" si="10"/>
        <v>#DIV/0!</v>
      </c>
      <c r="AB30" s="53" t="e">
        <f t="shared" si="11"/>
        <v>#DIV/0!</v>
      </c>
      <c r="AC30" s="53" t="e">
        <f t="shared" si="12"/>
        <v>#DIV/0!</v>
      </c>
      <c r="AD30" s="53" t="e">
        <f t="shared" si="13"/>
        <v>#DIV/0!</v>
      </c>
      <c r="AE30" s="54" t="e">
        <f t="shared" si="14"/>
        <v>#DIV/0!</v>
      </c>
    </row>
    <row r="31" spans="2:31" ht="15" customHeight="1" x14ac:dyDescent="0.3">
      <c r="B31" s="49">
        <f t="shared" si="15"/>
        <v>20</v>
      </c>
      <c r="C31" s="50" t="s">
        <v>358</v>
      </c>
      <c r="D31" s="111" t="s">
        <v>240</v>
      </c>
      <c r="E31" s="51" t="s">
        <v>174</v>
      </c>
      <c r="F31" s="39"/>
      <c r="G31" s="40"/>
      <c r="H31" s="40"/>
      <c r="I31" s="120" t="e">
        <f t="shared" si="0"/>
        <v>#DIV/0!</v>
      </c>
      <c r="J31" s="42" t="e">
        <f t="shared" si="1"/>
        <v>#DIV/0!</v>
      </c>
      <c r="K31" s="41" t="e">
        <f t="shared" si="2"/>
        <v>#DIV/0!</v>
      </c>
      <c r="L31" s="43" t="e">
        <f t="shared" si="3"/>
        <v>#DIV/0!</v>
      </c>
      <c r="M31" s="43" t="e">
        <f t="shared" si="4"/>
        <v>#DIV/0!</v>
      </c>
      <c r="N31" s="43" t="e">
        <f t="shared" si="5"/>
        <v>#DIV/0!</v>
      </c>
      <c r="O31" s="43" t="e">
        <f t="shared" si="6"/>
        <v>#DIV/0!</v>
      </c>
      <c r="P31" s="44" t="e">
        <f t="shared" si="7"/>
        <v>#DIV/0!</v>
      </c>
      <c r="Q31" s="45" t="e">
        <f t="shared" si="16"/>
        <v>#DIV/0!</v>
      </c>
      <c r="R31" s="52" t="e">
        <v>#DIV/0!</v>
      </c>
      <c r="S31" s="53" t="e">
        <v>#DIV/0!</v>
      </c>
      <c r="T31" s="53" t="e">
        <v>#DIV/0!</v>
      </c>
      <c r="U31" s="53" t="e">
        <v>#DIV/0!</v>
      </c>
      <c r="V31" s="53" t="e">
        <f t="shared" si="8"/>
        <v>#DIV/0!</v>
      </c>
      <c r="W31" s="52" t="e">
        <f t="shared" si="9"/>
        <v>#DIV/0!</v>
      </c>
      <c r="X31" s="53" t="e">
        <v>#DIV/0!</v>
      </c>
      <c r="Y31" s="53" t="e">
        <v>#DIV/0!</v>
      </c>
      <c r="Z31" s="53" t="e">
        <v>#DIV/0!</v>
      </c>
      <c r="AA31" s="53" t="e">
        <f t="shared" si="10"/>
        <v>#DIV/0!</v>
      </c>
      <c r="AB31" s="53" t="e">
        <f t="shared" si="11"/>
        <v>#DIV/0!</v>
      </c>
      <c r="AC31" s="53" t="e">
        <f t="shared" si="12"/>
        <v>#DIV/0!</v>
      </c>
      <c r="AD31" s="53" t="e">
        <f t="shared" si="13"/>
        <v>#DIV/0!</v>
      </c>
      <c r="AE31" s="54" t="e">
        <f t="shared" si="14"/>
        <v>#DIV/0!</v>
      </c>
    </row>
    <row r="32" spans="2:31" ht="15" customHeight="1" x14ac:dyDescent="0.3">
      <c r="B32" s="49">
        <f t="shared" si="15"/>
        <v>21</v>
      </c>
      <c r="C32" s="50" t="s">
        <v>358</v>
      </c>
      <c r="D32" s="111" t="s">
        <v>241</v>
      </c>
      <c r="E32" s="51" t="s">
        <v>175</v>
      </c>
      <c r="F32" s="39">
        <v>0.3</v>
      </c>
      <c r="G32" s="40">
        <v>11</v>
      </c>
      <c r="H32" s="40">
        <v>136</v>
      </c>
      <c r="I32" s="120">
        <f t="shared" si="0"/>
        <v>0.64252005240573151</v>
      </c>
      <c r="J32" s="42">
        <f t="shared" si="1"/>
        <v>5.8410913855066499E-2</v>
      </c>
      <c r="K32" s="41">
        <f t="shared" si="2"/>
        <v>17.120088250652511</v>
      </c>
      <c r="L32" s="43">
        <f t="shared" si="3"/>
        <v>0.27437179387535948</v>
      </c>
      <c r="M32" s="43">
        <f t="shared" si="4"/>
        <v>11</v>
      </c>
      <c r="N32" s="43">
        <f t="shared" si="5"/>
        <v>6.1667481767000387</v>
      </c>
      <c r="O32" s="43">
        <f t="shared" si="6"/>
        <v>38.128978125972999</v>
      </c>
      <c r="P32" s="44">
        <f t="shared" si="7"/>
        <v>13.723008808463895</v>
      </c>
      <c r="Q32" s="45">
        <f t="shared" si="16"/>
        <v>2.7272727272727271E-2</v>
      </c>
      <c r="R32" s="52">
        <v>1</v>
      </c>
      <c r="S32" s="53">
        <v>3.9321400005324098E-3</v>
      </c>
      <c r="T32" s="53">
        <v>0.4549364250484666</v>
      </c>
      <c r="U32" s="53">
        <v>3.841459149489757</v>
      </c>
      <c r="V32" s="53">
        <f t="shared" si="8"/>
        <v>8.6432736180961992E-3</v>
      </c>
      <c r="W32" s="52">
        <f t="shared" si="9"/>
        <v>2</v>
      </c>
      <c r="X32" s="53">
        <v>0.10258658882167279</v>
      </c>
      <c r="Y32" s="53">
        <v>1.3862943760896287</v>
      </c>
      <c r="Z32" s="53">
        <v>5.9914645471914136</v>
      </c>
      <c r="AA32" s="53">
        <f t="shared" si="10"/>
        <v>7.4000580678284605E-2</v>
      </c>
      <c r="AB32" s="53">
        <f t="shared" si="11"/>
        <v>1.285040104811463</v>
      </c>
      <c r="AC32" s="53">
        <f t="shared" si="12"/>
        <v>3.2052614432627372E-2</v>
      </c>
      <c r="AD32" s="53">
        <f t="shared" si="13"/>
        <v>0.72041079303022881</v>
      </c>
      <c r="AE32" s="54">
        <f t="shared" si="14"/>
        <v>4.4542969133958481</v>
      </c>
    </row>
    <row r="33" spans="2:31" ht="15" customHeight="1" x14ac:dyDescent="0.3">
      <c r="B33" s="49">
        <f t="shared" si="15"/>
        <v>22</v>
      </c>
      <c r="C33" s="50" t="s">
        <v>358</v>
      </c>
      <c r="D33" s="111" t="s">
        <v>242</v>
      </c>
      <c r="E33" s="51" t="s">
        <v>176</v>
      </c>
      <c r="F33" s="39">
        <v>0.3</v>
      </c>
      <c r="G33" s="40">
        <v>11</v>
      </c>
      <c r="H33" s="40">
        <v>136</v>
      </c>
      <c r="I33" s="120">
        <f t="shared" si="0"/>
        <v>0.64252005240573151</v>
      </c>
      <c r="J33" s="42">
        <f t="shared" si="1"/>
        <v>5.8410913855066499E-2</v>
      </c>
      <c r="K33" s="41">
        <f t="shared" si="2"/>
        <v>17.120088250652511</v>
      </c>
      <c r="L33" s="43">
        <f t="shared" si="3"/>
        <v>0.27437179387535948</v>
      </c>
      <c r="M33" s="43">
        <f t="shared" si="4"/>
        <v>11</v>
      </c>
      <c r="N33" s="43">
        <f t="shared" si="5"/>
        <v>6.1667481767000387</v>
      </c>
      <c r="O33" s="43">
        <f t="shared" si="6"/>
        <v>38.128978125972999</v>
      </c>
      <c r="P33" s="44">
        <f t="shared" si="7"/>
        <v>13.723008808463895</v>
      </c>
      <c r="Q33" s="45">
        <f t="shared" si="16"/>
        <v>2.7272727272727271E-2</v>
      </c>
      <c r="R33" s="52">
        <v>1</v>
      </c>
      <c r="S33" s="53">
        <v>3.9321400005324098E-3</v>
      </c>
      <c r="T33" s="53">
        <v>0.4549364250484666</v>
      </c>
      <c r="U33" s="53">
        <v>3.841459149489757</v>
      </c>
      <c r="V33" s="53">
        <f t="shared" si="8"/>
        <v>8.6432736180961992E-3</v>
      </c>
      <c r="W33" s="52">
        <f t="shared" si="9"/>
        <v>2</v>
      </c>
      <c r="X33" s="53">
        <v>0.10258658882167279</v>
      </c>
      <c r="Y33" s="53">
        <v>1.3862943760896287</v>
      </c>
      <c r="Z33" s="53">
        <v>5.9914645471914136</v>
      </c>
      <c r="AA33" s="53">
        <f t="shared" si="10"/>
        <v>7.4000580678284605E-2</v>
      </c>
      <c r="AB33" s="53">
        <f t="shared" si="11"/>
        <v>1.285040104811463</v>
      </c>
      <c r="AC33" s="53">
        <f t="shared" si="12"/>
        <v>3.2052614432627372E-2</v>
      </c>
      <c r="AD33" s="53">
        <f t="shared" si="13"/>
        <v>0.72041079303022881</v>
      </c>
      <c r="AE33" s="54">
        <f t="shared" si="14"/>
        <v>4.4542969133958481</v>
      </c>
    </row>
    <row r="34" spans="2:31" ht="15" customHeight="1" x14ac:dyDescent="0.3">
      <c r="B34" s="49">
        <f t="shared" si="15"/>
        <v>23</v>
      </c>
      <c r="C34" s="50" t="s">
        <v>358</v>
      </c>
      <c r="D34" s="111" t="s">
        <v>243</v>
      </c>
      <c r="E34" s="51" t="s">
        <v>177</v>
      </c>
      <c r="F34" s="39">
        <v>0.3</v>
      </c>
      <c r="G34" s="40">
        <v>11</v>
      </c>
      <c r="H34" s="40">
        <v>136</v>
      </c>
      <c r="I34" s="120">
        <f t="shared" si="0"/>
        <v>0.64252005240573151</v>
      </c>
      <c r="J34" s="42">
        <f t="shared" si="1"/>
        <v>5.8410913855066499E-2</v>
      </c>
      <c r="K34" s="41">
        <f t="shared" si="2"/>
        <v>17.120088250652511</v>
      </c>
      <c r="L34" s="43">
        <f t="shared" si="3"/>
        <v>0.27437179387535948</v>
      </c>
      <c r="M34" s="43">
        <f t="shared" si="4"/>
        <v>11</v>
      </c>
      <c r="N34" s="43">
        <f t="shared" si="5"/>
        <v>6.1667481767000387</v>
      </c>
      <c r="O34" s="43">
        <f t="shared" si="6"/>
        <v>38.128978125972999</v>
      </c>
      <c r="P34" s="44">
        <f t="shared" si="7"/>
        <v>13.723008808463895</v>
      </c>
      <c r="Q34" s="45">
        <f t="shared" si="16"/>
        <v>2.7272727272727271E-2</v>
      </c>
      <c r="R34" s="52">
        <v>1</v>
      </c>
      <c r="S34" s="53">
        <v>3.9321400005324098E-3</v>
      </c>
      <c r="T34" s="53">
        <v>0.4549364250484666</v>
      </c>
      <c r="U34" s="53">
        <v>3.841459149489757</v>
      </c>
      <c r="V34" s="53">
        <f t="shared" si="8"/>
        <v>8.6432736180961992E-3</v>
      </c>
      <c r="W34" s="52">
        <f t="shared" si="9"/>
        <v>2</v>
      </c>
      <c r="X34" s="53">
        <v>0.10258658882167279</v>
      </c>
      <c r="Y34" s="53">
        <v>1.3862943760896287</v>
      </c>
      <c r="Z34" s="53">
        <v>5.9914645471914136</v>
      </c>
      <c r="AA34" s="53">
        <f t="shared" si="10"/>
        <v>7.4000580678284605E-2</v>
      </c>
      <c r="AB34" s="53">
        <f t="shared" si="11"/>
        <v>1.285040104811463</v>
      </c>
      <c r="AC34" s="53">
        <f t="shared" si="12"/>
        <v>3.2052614432627372E-2</v>
      </c>
      <c r="AD34" s="53">
        <f t="shared" si="13"/>
        <v>0.72041079303022881</v>
      </c>
      <c r="AE34" s="54">
        <f t="shared" si="14"/>
        <v>4.4542969133958481</v>
      </c>
    </row>
    <row r="35" spans="2:31" ht="15" customHeight="1" x14ac:dyDescent="0.3">
      <c r="B35" s="49">
        <f t="shared" si="15"/>
        <v>24</v>
      </c>
      <c r="C35" s="50" t="s">
        <v>359</v>
      </c>
      <c r="D35" s="111" t="s">
        <v>20</v>
      </c>
      <c r="E35" s="51" t="s">
        <v>178</v>
      </c>
      <c r="F35" s="39"/>
      <c r="G35" s="117"/>
      <c r="H35" s="117"/>
      <c r="I35" s="120" t="e">
        <f t="shared" si="0"/>
        <v>#DIV/0!</v>
      </c>
      <c r="J35" s="42" t="e">
        <f t="shared" si="1"/>
        <v>#DIV/0!</v>
      </c>
      <c r="K35" s="41" t="e">
        <f t="shared" si="2"/>
        <v>#DIV/0!</v>
      </c>
      <c r="L35" s="43" t="e">
        <f t="shared" si="3"/>
        <v>#DIV/0!</v>
      </c>
      <c r="M35" s="43" t="e">
        <f t="shared" si="4"/>
        <v>#DIV/0!</v>
      </c>
      <c r="N35" s="43" t="e">
        <f t="shared" si="5"/>
        <v>#DIV/0!</v>
      </c>
      <c r="O35" s="43" t="e">
        <f t="shared" si="6"/>
        <v>#DIV/0!</v>
      </c>
      <c r="P35" s="44" t="e">
        <f t="shared" si="7"/>
        <v>#DIV/0!</v>
      </c>
      <c r="Q35" s="45" t="e">
        <f t="shared" si="16"/>
        <v>#DIV/0!</v>
      </c>
      <c r="R35" s="52" t="e">
        <v>#DIV/0!</v>
      </c>
      <c r="S35" s="53" t="e">
        <v>#DIV/0!</v>
      </c>
      <c r="T35" s="53" t="e">
        <v>#DIV/0!</v>
      </c>
      <c r="U35" s="53" t="e">
        <v>#DIV/0!</v>
      </c>
      <c r="V35" s="53" t="e">
        <f t="shared" si="8"/>
        <v>#DIV/0!</v>
      </c>
      <c r="W35" s="52" t="e">
        <f t="shared" si="9"/>
        <v>#DIV/0!</v>
      </c>
      <c r="X35" s="53" t="e">
        <v>#DIV/0!</v>
      </c>
      <c r="Y35" s="53" t="e">
        <v>#DIV/0!</v>
      </c>
      <c r="Z35" s="53" t="e">
        <v>#DIV/0!</v>
      </c>
      <c r="AA35" s="53" t="e">
        <f t="shared" si="10"/>
        <v>#DIV/0!</v>
      </c>
      <c r="AB35" s="53" t="e">
        <f t="shared" si="11"/>
        <v>#DIV/0!</v>
      </c>
      <c r="AC35" s="53" t="e">
        <f t="shared" si="12"/>
        <v>#DIV/0!</v>
      </c>
      <c r="AD35" s="53" t="e">
        <f t="shared" si="13"/>
        <v>#DIV/0!</v>
      </c>
      <c r="AE35" s="54" t="e">
        <f t="shared" si="14"/>
        <v>#DIV/0!</v>
      </c>
    </row>
    <row r="36" spans="2:31" ht="15" customHeight="1" x14ac:dyDescent="0.3">
      <c r="B36" s="49">
        <f t="shared" si="15"/>
        <v>25</v>
      </c>
      <c r="C36" s="50" t="s">
        <v>359</v>
      </c>
      <c r="D36" s="111" t="s">
        <v>21</v>
      </c>
      <c r="E36" s="51" t="s">
        <v>179</v>
      </c>
      <c r="F36" s="39"/>
      <c r="G36" s="117"/>
      <c r="H36" s="117"/>
      <c r="I36" s="120" t="e">
        <f t="shared" si="0"/>
        <v>#DIV/0!</v>
      </c>
      <c r="J36" s="42" t="e">
        <f t="shared" si="1"/>
        <v>#DIV/0!</v>
      </c>
      <c r="K36" s="41" t="e">
        <f t="shared" si="2"/>
        <v>#DIV/0!</v>
      </c>
      <c r="L36" s="43" t="e">
        <f t="shared" si="3"/>
        <v>#DIV/0!</v>
      </c>
      <c r="M36" s="43" t="e">
        <f t="shared" si="4"/>
        <v>#DIV/0!</v>
      </c>
      <c r="N36" s="43" t="e">
        <f t="shared" si="5"/>
        <v>#DIV/0!</v>
      </c>
      <c r="O36" s="43" t="e">
        <f t="shared" si="6"/>
        <v>#DIV/0!</v>
      </c>
      <c r="P36" s="44" t="e">
        <f t="shared" si="7"/>
        <v>#DIV/0!</v>
      </c>
      <c r="Q36" s="45" t="e">
        <f t="shared" si="16"/>
        <v>#DIV/0!</v>
      </c>
      <c r="R36" s="52" t="e">
        <v>#DIV/0!</v>
      </c>
      <c r="S36" s="53" t="e">
        <v>#DIV/0!</v>
      </c>
      <c r="T36" s="53" t="e">
        <v>#DIV/0!</v>
      </c>
      <c r="U36" s="53" t="e">
        <v>#DIV/0!</v>
      </c>
      <c r="V36" s="53" t="e">
        <f t="shared" si="8"/>
        <v>#DIV/0!</v>
      </c>
      <c r="W36" s="52" t="e">
        <f t="shared" si="9"/>
        <v>#DIV/0!</v>
      </c>
      <c r="X36" s="53" t="e">
        <v>#DIV/0!</v>
      </c>
      <c r="Y36" s="53" t="e">
        <v>#DIV/0!</v>
      </c>
      <c r="Z36" s="53" t="e">
        <v>#DIV/0!</v>
      </c>
      <c r="AA36" s="53" t="e">
        <f t="shared" si="10"/>
        <v>#DIV/0!</v>
      </c>
      <c r="AB36" s="53" t="e">
        <f t="shared" si="11"/>
        <v>#DIV/0!</v>
      </c>
      <c r="AC36" s="53" t="e">
        <f t="shared" si="12"/>
        <v>#DIV/0!</v>
      </c>
      <c r="AD36" s="53" t="e">
        <f t="shared" si="13"/>
        <v>#DIV/0!</v>
      </c>
      <c r="AE36" s="54" t="e">
        <f t="shared" si="14"/>
        <v>#DIV/0!</v>
      </c>
    </row>
    <row r="37" spans="2:31" ht="15" customHeight="1" x14ac:dyDescent="0.3">
      <c r="B37" s="49">
        <f t="shared" si="15"/>
        <v>26</v>
      </c>
      <c r="C37" s="50" t="s">
        <v>359</v>
      </c>
      <c r="D37" s="111" t="s">
        <v>22</v>
      </c>
      <c r="E37" s="51" t="s">
        <v>180</v>
      </c>
      <c r="F37" s="39"/>
      <c r="G37" s="117"/>
      <c r="H37" s="117"/>
      <c r="I37" s="120" t="e">
        <f t="shared" si="0"/>
        <v>#DIV/0!</v>
      </c>
      <c r="J37" s="42" t="e">
        <f t="shared" si="1"/>
        <v>#DIV/0!</v>
      </c>
      <c r="K37" s="41" t="e">
        <f t="shared" si="2"/>
        <v>#DIV/0!</v>
      </c>
      <c r="L37" s="43" t="e">
        <f t="shared" si="3"/>
        <v>#DIV/0!</v>
      </c>
      <c r="M37" s="43" t="e">
        <f t="shared" si="4"/>
        <v>#DIV/0!</v>
      </c>
      <c r="N37" s="43" t="e">
        <f t="shared" si="5"/>
        <v>#DIV/0!</v>
      </c>
      <c r="O37" s="43" t="e">
        <f t="shared" si="6"/>
        <v>#DIV/0!</v>
      </c>
      <c r="P37" s="44" t="e">
        <f t="shared" si="7"/>
        <v>#DIV/0!</v>
      </c>
      <c r="Q37" s="45" t="e">
        <f t="shared" si="16"/>
        <v>#DIV/0!</v>
      </c>
      <c r="R37" s="52" t="e">
        <v>#DIV/0!</v>
      </c>
      <c r="S37" s="53" t="e">
        <v>#DIV/0!</v>
      </c>
      <c r="T37" s="53" t="e">
        <v>#DIV/0!</v>
      </c>
      <c r="U37" s="53" t="e">
        <v>#DIV/0!</v>
      </c>
      <c r="V37" s="53" t="e">
        <f t="shared" si="8"/>
        <v>#DIV/0!</v>
      </c>
      <c r="W37" s="52" t="e">
        <f t="shared" si="9"/>
        <v>#DIV/0!</v>
      </c>
      <c r="X37" s="53" t="e">
        <v>#DIV/0!</v>
      </c>
      <c r="Y37" s="53" t="e">
        <v>#DIV/0!</v>
      </c>
      <c r="Z37" s="53" t="e">
        <v>#DIV/0!</v>
      </c>
      <c r="AA37" s="53" t="e">
        <f t="shared" si="10"/>
        <v>#DIV/0!</v>
      </c>
      <c r="AB37" s="53" t="e">
        <f t="shared" si="11"/>
        <v>#DIV/0!</v>
      </c>
      <c r="AC37" s="53" t="e">
        <f t="shared" si="12"/>
        <v>#DIV/0!</v>
      </c>
      <c r="AD37" s="53" t="e">
        <f t="shared" si="13"/>
        <v>#DIV/0!</v>
      </c>
      <c r="AE37" s="54" t="e">
        <f t="shared" si="14"/>
        <v>#DIV/0!</v>
      </c>
    </row>
    <row r="38" spans="2:31" ht="15" customHeight="1" x14ac:dyDescent="0.3">
      <c r="B38" s="49">
        <f t="shared" si="15"/>
        <v>27</v>
      </c>
      <c r="C38" s="50" t="s">
        <v>359</v>
      </c>
      <c r="D38" s="111" t="s">
        <v>23</v>
      </c>
      <c r="E38" s="51" t="s">
        <v>181</v>
      </c>
      <c r="F38" s="39"/>
      <c r="G38" s="117"/>
      <c r="H38" s="117"/>
      <c r="I38" s="120" t="e">
        <f t="shared" si="0"/>
        <v>#DIV/0!</v>
      </c>
      <c r="J38" s="42" t="e">
        <f t="shared" si="1"/>
        <v>#DIV/0!</v>
      </c>
      <c r="K38" s="41" t="e">
        <f t="shared" si="2"/>
        <v>#DIV/0!</v>
      </c>
      <c r="L38" s="43" t="e">
        <f t="shared" si="3"/>
        <v>#DIV/0!</v>
      </c>
      <c r="M38" s="43" t="e">
        <f t="shared" si="4"/>
        <v>#DIV/0!</v>
      </c>
      <c r="N38" s="43" t="e">
        <f t="shared" si="5"/>
        <v>#DIV/0!</v>
      </c>
      <c r="O38" s="43" t="e">
        <f t="shared" si="6"/>
        <v>#DIV/0!</v>
      </c>
      <c r="P38" s="44" t="e">
        <f t="shared" si="7"/>
        <v>#DIV/0!</v>
      </c>
      <c r="Q38" s="45" t="e">
        <f t="shared" si="16"/>
        <v>#DIV/0!</v>
      </c>
      <c r="R38" s="52" t="e">
        <v>#DIV/0!</v>
      </c>
      <c r="S38" s="53" t="e">
        <v>#DIV/0!</v>
      </c>
      <c r="T38" s="53" t="e">
        <v>#DIV/0!</v>
      </c>
      <c r="U38" s="53" t="e">
        <v>#DIV/0!</v>
      </c>
      <c r="V38" s="53" t="e">
        <f t="shared" si="8"/>
        <v>#DIV/0!</v>
      </c>
      <c r="W38" s="52" t="e">
        <f t="shared" si="9"/>
        <v>#DIV/0!</v>
      </c>
      <c r="X38" s="53" t="e">
        <v>#DIV/0!</v>
      </c>
      <c r="Y38" s="53" t="e">
        <v>#DIV/0!</v>
      </c>
      <c r="Z38" s="53" t="e">
        <v>#DIV/0!</v>
      </c>
      <c r="AA38" s="53" t="e">
        <f t="shared" si="10"/>
        <v>#DIV/0!</v>
      </c>
      <c r="AB38" s="53" t="e">
        <f t="shared" si="11"/>
        <v>#DIV/0!</v>
      </c>
      <c r="AC38" s="53" t="e">
        <f t="shared" si="12"/>
        <v>#DIV/0!</v>
      </c>
      <c r="AD38" s="53" t="e">
        <f t="shared" si="13"/>
        <v>#DIV/0!</v>
      </c>
      <c r="AE38" s="54" t="e">
        <f t="shared" si="14"/>
        <v>#DIV/0!</v>
      </c>
    </row>
    <row r="39" spans="2:31" ht="15" customHeight="1" x14ac:dyDescent="0.3">
      <c r="B39" s="49">
        <f t="shared" si="15"/>
        <v>28</v>
      </c>
      <c r="C39" s="50" t="s">
        <v>359</v>
      </c>
      <c r="D39" s="111" t="s">
        <v>24</v>
      </c>
      <c r="E39" s="51" t="s">
        <v>182</v>
      </c>
      <c r="F39" s="39"/>
      <c r="G39" s="117"/>
      <c r="H39" s="117"/>
      <c r="I39" s="120" t="e">
        <f t="shared" si="0"/>
        <v>#DIV/0!</v>
      </c>
      <c r="J39" s="42" t="e">
        <f t="shared" si="1"/>
        <v>#DIV/0!</v>
      </c>
      <c r="K39" s="41" t="e">
        <f t="shared" si="2"/>
        <v>#DIV/0!</v>
      </c>
      <c r="L39" s="43" t="e">
        <f t="shared" si="3"/>
        <v>#DIV/0!</v>
      </c>
      <c r="M39" s="43" t="e">
        <f t="shared" si="4"/>
        <v>#DIV/0!</v>
      </c>
      <c r="N39" s="43" t="e">
        <f t="shared" si="5"/>
        <v>#DIV/0!</v>
      </c>
      <c r="O39" s="43" t="e">
        <f t="shared" si="6"/>
        <v>#DIV/0!</v>
      </c>
      <c r="P39" s="44" t="e">
        <f t="shared" si="7"/>
        <v>#DIV/0!</v>
      </c>
      <c r="Q39" s="45" t="e">
        <f t="shared" si="16"/>
        <v>#DIV/0!</v>
      </c>
      <c r="R39" s="52" t="e">
        <v>#DIV/0!</v>
      </c>
      <c r="S39" s="53" t="e">
        <v>#DIV/0!</v>
      </c>
      <c r="T39" s="53" t="e">
        <v>#DIV/0!</v>
      </c>
      <c r="U39" s="53" t="e">
        <v>#DIV/0!</v>
      </c>
      <c r="V39" s="53" t="e">
        <f t="shared" si="8"/>
        <v>#DIV/0!</v>
      </c>
      <c r="W39" s="52" t="e">
        <f t="shared" si="9"/>
        <v>#DIV/0!</v>
      </c>
      <c r="X39" s="53" t="e">
        <v>#DIV/0!</v>
      </c>
      <c r="Y39" s="53" t="e">
        <v>#DIV/0!</v>
      </c>
      <c r="Z39" s="53" t="e">
        <v>#DIV/0!</v>
      </c>
      <c r="AA39" s="53" t="e">
        <f t="shared" si="10"/>
        <v>#DIV/0!</v>
      </c>
      <c r="AB39" s="53" t="e">
        <f t="shared" si="11"/>
        <v>#DIV/0!</v>
      </c>
      <c r="AC39" s="53" t="e">
        <f t="shared" si="12"/>
        <v>#DIV/0!</v>
      </c>
      <c r="AD39" s="53" t="e">
        <f t="shared" si="13"/>
        <v>#DIV/0!</v>
      </c>
      <c r="AE39" s="54" t="e">
        <f t="shared" si="14"/>
        <v>#DIV/0!</v>
      </c>
    </row>
    <row r="40" spans="2:31" ht="15" customHeight="1" x14ac:dyDescent="0.3">
      <c r="B40" s="49">
        <f t="shared" si="15"/>
        <v>29</v>
      </c>
      <c r="C40" s="50" t="s">
        <v>359</v>
      </c>
      <c r="D40" s="111" t="s">
        <v>25</v>
      </c>
      <c r="E40" s="51" t="s">
        <v>183</v>
      </c>
      <c r="F40" s="39"/>
      <c r="G40" s="117"/>
      <c r="H40" s="117"/>
      <c r="I40" s="120" t="e">
        <f t="shared" si="0"/>
        <v>#DIV/0!</v>
      </c>
      <c r="J40" s="42" t="e">
        <f t="shared" si="1"/>
        <v>#DIV/0!</v>
      </c>
      <c r="K40" s="41" t="e">
        <f t="shared" si="2"/>
        <v>#DIV/0!</v>
      </c>
      <c r="L40" s="43" t="e">
        <f t="shared" si="3"/>
        <v>#DIV/0!</v>
      </c>
      <c r="M40" s="43" t="e">
        <f t="shared" si="4"/>
        <v>#DIV/0!</v>
      </c>
      <c r="N40" s="43" t="e">
        <f t="shared" si="5"/>
        <v>#DIV/0!</v>
      </c>
      <c r="O40" s="43" t="e">
        <f t="shared" si="6"/>
        <v>#DIV/0!</v>
      </c>
      <c r="P40" s="44" t="e">
        <f t="shared" si="7"/>
        <v>#DIV/0!</v>
      </c>
      <c r="Q40" s="45" t="e">
        <f t="shared" si="16"/>
        <v>#DIV/0!</v>
      </c>
      <c r="R40" s="52" t="e">
        <v>#DIV/0!</v>
      </c>
      <c r="S40" s="53" t="e">
        <v>#DIV/0!</v>
      </c>
      <c r="T40" s="53" t="e">
        <v>#DIV/0!</v>
      </c>
      <c r="U40" s="53" t="e">
        <v>#DIV/0!</v>
      </c>
      <c r="V40" s="53" t="e">
        <f t="shared" si="8"/>
        <v>#DIV/0!</v>
      </c>
      <c r="W40" s="52" t="e">
        <f t="shared" si="9"/>
        <v>#DIV/0!</v>
      </c>
      <c r="X40" s="53" t="e">
        <v>#DIV/0!</v>
      </c>
      <c r="Y40" s="53" t="e">
        <v>#DIV/0!</v>
      </c>
      <c r="Z40" s="53" t="e">
        <v>#DIV/0!</v>
      </c>
      <c r="AA40" s="53" t="e">
        <f t="shared" si="10"/>
        <v>#DIV/0!</v>
      </c>
      <c r="AB40" s="53" t="e">
        <f t="shared" si="11"/>
        <v>#DIV/0!</v>
      </c>
      <c r="AC40" s="53" t="e">
        <f t="shared" si="12"/>
        <v>#DIV/0!</v>
      </c>
      <c r="AD40" s="53" t="e">
        <f t="shared" si="13"/>
        <v>#DIV/0!</v>
      </c>
      <c r="AE40" s="54" t="e">
        <f t="shared" si="14"/>
        <v>#DIV/0!</v>
      </c>
    </row>
    <row r="41" spans="2:31" ht="15" customHeight="1" x14ac:dyDescent="0.3">
      <c r="B41" s="49">
        <f t="shared" si="15"/>
        <v>30</v>
      </c>
      <c r="C41" s="50" t="s">
        <v>359</v>
      </c>
      <c r="D41" s="111" t="s">
        <v>26</v>
      </c>
      <c r="E41" s="51" t="s">
        <v>184</v>
      </c>
      <c r="F41" s="39"/>
      <c r="G41" s="117"/>
      <c r="H41" s="117"/>
      <c r="I41" s="120" t="e">
        <f t="shared" si="0"/>
        <v>#DIV/0!</v>
      </c>
      <c r="J41" s="42" t="e">
        <f t="shared" si="1"/>
        <v>#DIV/0!</v>
      </c>
      <c r="K41" s="41" t="e">
        <f t="shared" si="2"/>
        <v>#DIV/0!</v>
      </c>
      <c r="L41" s="43" t="e">
        <f t="shared" si="3"/>
        <v>#DIV/0!</v>
      </c>
      <c r="M41" s="43" t="e">
        <f t="shared" si="4"/>
        <v>#DIV/0!</v>
      </c>
      <c r="N41" s="43" t="e">
        <f t="shared" si="5"/>
        <v>#DIV/0!</v>
      </c>
      <c r="O41" s="43" t="e">
        <f t="shared" si="6"/>
        <v>#DIV/0!</v>
      </c>
      <c r="P41" s="44" t="e">
        <f t="shared" si="7"/>
        <v>#DIV/0!</v>
      </c>
      <c r="Q41" s="45" t="e">
        <f t="shared" si="16"/>
        <v>#DIV/0!</v>
      </c>
      <c r="R41" s="52" t="e">
        <v>#DIV/0!</v>
      </c>
      <c r="S41" s="53" t="e">
        <v>#DIV/0!</v>
      </c>
      <c r="T41" s="53" t="e">
        <v>#DIV/0!</v>
      </c>
      <c r="U41" s="53" t="e">
        <v>#DIV/0!</v>
      </c>
      <c r="V41" s="53" t="e">
        <f t="shared" si="8"/>
        <v>#DIV/0!</v>
      </c>
      <c r="W41" s="52" t="e">
        <f t="shared" si="9"/>
        <v>#DIV/0!</v>
      </c>
      <c r="X41" s="53" t="e">
        <v>#DIV/0!</v>
      </c>
      <c r="Y41" s="53" t="e">
        <v>#DIV/0!</v>
      </c>
      <c r="Z41" s="53" t="e">
        <v>#DIV/0!</v>
      </c>
      <c r="AA41" s="53" t="e">
        <f t="shared" si="10"/>
        <v>#DIV/0!</v>
      </c>
      <c r="AB41" s="53" t="e">
        <f t="shared" si="11"/>
        <v>#DIV/0!</v>
      </c>
      <c r="AC41" s="53" t="e">
        <f t="shared" si="12"/>
        <v>#DIV/0!</v>
      </c>
      <c r="AD41" s="53" t="e">
        <f t="shared" si="13"/>
        <v>#DIV/0!</v>
      </c>
      <c r="AE41" s="54" t="e">
        <f t="shared" si="14"/>
        <v>#DIV/0!</v>
      </c>
    </row>
    <row r="42" spans="2:31" ht="15" customHeight="1" x14ac:dyDescent="0.3">
      <c r="B42" s="49">
        <f t="shared" si="15"/>
        <v>31</v>
      </c>
      <c r="C42" s="50" t="s">
        <v>359</v>
      </c>
      <c r="D42" s="111" t="s">
        <v>27</v>
      </c>
      <c r="E42" s="58" t="s">
        <v>185</v>
      </c>
      <c r="F42" s="39"/>
      <c r="G42" s="117"/>
      <c r="H42" s="117"/>
      <c r="I42" s="120" t="e">
        <f t="shared" si="0"/>
        <v>#DIV/0!</v>
      </c>
      <c r="J42" s="42" t="e">
        <f t="shared" si="1"/>
        <v>#DIV/0!</v>
      </c>
      <c r="K42" s="41" t="e">
        <f t="shared" si="2"/>
        <v>#DIV/0!</v>
      </c>
      <c r="L42" s="43" t="e">
        <f t="shared" si="3"/>
        <v>#DIV/0!</v>
      </c>
      <c r="M42" s="43" t="e">
        <f t="shared" si="4"/>
        <v>#DIV/0!</v>
      </c>
      <c r="N42" s="43" t="e">
        <f t="shared" si="5"/>
        <v>#DIV/0!</v>
      </c>
      <c r="O42" s="43" t="e">
        <f t="shared" si="6"/>
        <v>#DIV/0!</v>
      </c>
      <c r="P42" s="44" t="e">
        <f t="shared" si="7"/>
        <v>#DIV/0!</v>
      </c>
      <c r="Q42" s="45" t="e">
        <f t="shared" si="16"/>
        <v>#DIV/0!</v>
      </c>
      <c r="R42" s="52" t="e">
        <v>#DIV/0!</v>
      </c>
      <c r="S42" s="53" t="e">
        <v>#DIV/0!</v>
      </c>
      <c r="T42" s="53" t="e">
        <v>#DIV/0!</v>
      </c>
      <c r="U42" s="53" t="e">
        <v>#DIV/0!</v>
      </c>
      <c r="V42" s="53" t="e">
        <f t="shared" si="8"/>
        <v>#DIV/0!</v>
      </c>
      <c r="W42" s="52" t="e">
        <f t="shared" si="9"/>
        <v>#DIV/0!</v>
      </c>
      <c r="X42" s="53" t="e">
        <v>#DIV/0!</v>
      </c>
      <c r="Y42" s="53" t="e">
        <v>#DIV/0!</v>
      </c>
      <c r="Z42" s="53" t="e">
        <v>#DIV/0!</v>
      </c>
      <c r="AA42" s="53" t="e">
        <f t="shared" si="10"/>
        <v>#DIV/0!</v>
      </c>
      <c r="AB42" s="53" t="e">
        <f t="shared" si="11"/>
        <v>#DIV/0!</v>
      </c>
      <c r="AC42" s="53" t="e">
        <f t="shared" si="12"/>
        <v>#DIV/0!</v>
      </c>
      <c r="AD42" s="53" t="e">
        <f t="shared" si="13"/>
        <v>#DIV/0!</v>
      </c>
      <c r="AE42" s="54" t="e">
        <f t="shared" si="14"/>
        <v>#DIV/0!</v>
      </c>
    </row>
    <row r="43" spans="2:31" ht="15" customHeight="1" x14ac:dyDescent="0.3">
      <c r="B43" s="49">
        <f t="shared" si="15"/>
        <v>32</v>
      </c>
      <c r="C43" s="50" t="s">
        <v>359</v>
      </c>
      <c r="D43" s="111" t="s">
        <v>28</v>
      </c>
      <c r="E43" s="51" t="s">
        <v>186</v>
      </c>
      <c r="F43" s="39"/>
      <c r="G43" s="117"/>
      <c r="H43" s="117"/>
      <c r="I43" s="120" t="e">
        <f>AB43/2</f>
        <v>#DIV/0!</v>
      </c>
      <c r="J43" s="42" t="e">
        <f>I43/G43</f>
        <v>#DIV/0!</v>
      </c>
      <c r="K43" s="41" t="e">
        <f>1/J43</f>
        <v>#DIV/0!</v>
      </c>
      <c r="L43" s="43" t="e">
        <f>1/2/J43*AC43</f>
        <v>#DIV/0!</v>
      </c>
      <c r="M43" s="43" t="e">
        <f>I43/J43</f>
        <v>#DIV/0!</v>
      </c>
      <c r="N43" s="43" t="e">
        <f>1/2/J43*AD43</f>
        <v>#DIV/0!</v>
      </c>
      <c r="O43" s="43" t="e">
        <f>1/2/J43*AE43</f>
        <v>#DIV/0!</v>
      </c>
      <c r="P43" s="44" t="e">
        <f>SQRT(M43/J43)</f>
        <v>#DIV/0!</v>
      </c>
      <c r="Q43" s="45" t="e">
        <f>F43/G43</f>
        <v>#DIV/0!</v>
      </c>
      <c r="R43" s="52" t="e">
        <v>#DIV/0!</v>
      </c>
      <c r="S43" s="53" t="e">
        <v>#DIV/0!</v>
      </c>
      <c r="T43" s="53" t="e">
        <v>#DIV/0!</v>
      </c>
      <c r="U43" s="53" t="e">
        <v>#DIV/0!</v>
      </c>
      <c r="V43" s="53" t="e">
        <f>S43/T43</f>
        <v>#DIV/0!</v>
      </c>
      <c r="W43" s="52" t="e">
        <f>R43+1</f>
        <v>#DIV/0!</v>
      </c>
      <c r="X43" s="53" t="e">
        <v>#DIV/0!</v>
      </c>
      <c r="Y43" s="53" t="e">
        <v>#DIV/0!</v>
      </c>
      <c r="Z43" s="53" t="e">
        <v>#DIV/0!</v>
      </c>
      <c r="AA43" s="53" t="e">
        <f>X43/Y43</f>
        <v>#DIV/0!</v>
      </c>
      <c r="AB43" s="53" t="e">
        <f>(Q43-V43)/(AA43-V43)*(W43-R43)+R43</f>
        <v>#DIV/0!</v>
      </c>
      <c r="AC43" s="53" t="e">
        <f>(Q43-V43)/(AA43-V43)*(X43-S43)+S43</f>
        <v>#DIV/0!</v>
      </c>
      <c r="AD43" s="53" t="e">
        <f>(Q43-V43)/(AA43-V43)*(Y43-T43)+T43</f>
        <v>#DIV/0!</v>
      </c>
      <c r="AE43" s="54" t="e">
        <f>(Q43-V43)/(AA43-V43)*(Z43-U43)+U43</f>
        <v>#DIV/0!</v>
      </c>
    </row>
    <row r="44" spans="2:31" x14ac:dyDescent="0.3">
      <c r="B44" s="49">
        <f t="shared" si="15"/>
        <v>33</v>
      </c>
      <c r="C44" s="59" t="s">
        <v>360</v>
      </c>
      <c r="D44" s="112" t="s">
        <v>30</v>
      </c>
      <c r="E44" s="60" t="s">
        <v>362</v>
      </c>
      <c r="F44" s="39">
        <v>1</v>
      </c>
      <c r="G44" s="40">
        <v>5.3</v>
      </c>
      <c r="H44" s="40">
        <v>6</v>
      </c>
      <c r="I44" s="120">
        <f>AB44/2</f>
        <v>1.8170973966824597</v>
      </c>
      <c r="J44" s="42">
        <f>I44/G44</f>
        <v>0.34284856541178488</v>
      </c>
      <c r="K44" s="41">
        <f>1/J44</f>
        <v>2.9167396363433249</v>
      </c>
      <c r="L44" s="43">
        <f>1/2/J44*AC44</f>
        <v>0.84504372230143843</v>
      </c>
      <c r="M44" s="43">
        <f>I44/J44</f>
        <v>5.3</v>
      </c>
      <c r="N44" s="43">
        <f>1/2/J44*AD44</f>
        <v>4.3667725774667909</v>
      </c>
      <c r="O44" s="43">
        <f>1/2/J44*AE44</f>
        <v>12.944106168190759</v>
      </c>
      <c r="P44" s="44">
        <f>SQRT(M44/J44)</f>
        <v>3.9317578858087918</v>
      </c>
      <c r="Q44" s="45">
        <f>F44/G44</f>
        <v>0.18867924528301888</v>
      </c>
      <c r="R44" s="52">
        <v>3</v>
      </c>
      <c r="S44" s="53">
        <v>0.35184631840544622</v>
      </c>
      <c r="T44" s="53">
        <v>2.3659738927290714</v>
      </c>
      <c r="U44" s="53">
        <v>7.81472776394987</v>
      </c>
      <c r="V44" s="53">
        <f>S44/T44</f>
        <v>0.14871098936751298</v>
      </c>
      <c r="W44" s="52">
        <f>R44+1</f>
        <v>4</v>
      </c>
      <c r="X44" s="53">
        <v>0.71072302281597644</v>
      </c>
      <c r="Y44" s="53">
        <v>3.3566940013967228</v>
      </c>
      <c r="Z44" s="53">
        <v>9.487729036988851</v>
      </c>
      <c r="AA44" s="53">
        <f>X44/Y44</f>
        <v>0.21173303927025938</v>
      </c>
      <c r="AB44" s="53">
        <f>(Q44-V44)/(AA44-V44)*(W44-R44)+R44</f>
        <v>3.6341947933649195</v>
      </c>
      <c r="AC44" s="53">
        <f>(Q44-V44)/(AA44-V44)*(X44-S44)+S44</f>
        <v>0.57944405580256575</v>
      </c>
      <c r="AD44" s="53">
        <f>(Q44-V44)/(AA44-V44)*(Y44-T44)+T44</f>
        <v>2.994283427328023</v>
      </c>
      <c r="AE44" s="54">
        <f>(Q44-V44)/(AA44-V44)*(Z44-U44)+U44</f>
        <v>8.8757364606040738</v>
      </c>
    </row>
    <row r="45" spans="2:31" s="24" customFormat="1" ht="15" customHeight="1" x14ac:dyDescent="0.3">
      <c r="B45" s="49">
        <f t="shared" si="15"/>
        <v>34</v>
      </c>
      <c r="C45" s="96" t="s">
        <v>360</v>
      </c>
      <c r="D45" s="113" t="s">
        <v>29</v>
      </c>
      <c r="E45" s="97" t="s">
        <v>361</v>
      </c>
      <c r="F45" s="98">
        <v>0.5</v>
      </c>
      <c r="G45" s="99">
        <v>5</v>
      </c>
      <c r="H45" s="99">
        <v>85</v>
      </c>
      <c r="I45" s="121">
        <f t="shared" si="0"/>
        <v>1.1740013190790104</v>
      </c>
      <c r="J45" s="101">
        <f t="shared" si="1"/>
        <v>0.23480026381580207</v>
      </c>
      <c r="K45" s="100">
        <f t="shared" si="2"/>
        <v>4.2589389966975837</v>
      </c>
      <c r="L45" s="102">
        <f t="shared" si="3"/>
        <v>0.40317167712364155</v>
      </c>
      <c r="M45" s="102">
        <f t="shared" si="4"/>
        <v>5</v>
      </c>
      <c r="N45" s="102">
        <f t="shared" si="5"/>
        <v>3.6780738751309854</v>
      </c>
      <c r="O45" s="102">
        <f t="shared" si="6"/>
        <v>14.109790272377683</v>
      </c>
      <c r="P45" s="103">
        <f t="shared" si="7"/>
        <v>4.614617533825303</v>
      </c>
      <c r="Q45" s="104">
        <f t="shared" si="16"/>
        <v>0.1</v>
      </c>
      <c r="R45" s="105">
        <v>2</v>
      </c>
      <c r="S45" s="106">
        <v>0.10258658882167279</v>
      </c>
      <c r="T45" s="106">
        <v>1.3862943760896287</v>
      </c>
      <c r="U45" s="106">
        <v>5.9914645471914136</v>
      </c>
      <c r="V45" s="106">
        <f t="shared" si="8"/>
        <v>7.4000580678284605E-2</v>
      </c>
      <c r="W45" s="105">
        <f t="shared" si="9"/>
        <v>3</v>
      </c>
      <c r="X45" s="106">
        <v>0.35184631840544622</v>
      </c>
      <c r="Y45" s="106">
        <v>2.3659738927290714</v>
      </c>
      <c r="Z45" s="106">
        <v>7.81472776394987</v>
      </c>
      <c r="AA45" s="106">
        <f t="shared" si="10"/>
        <v>0.14871098936751298</v>
      </c>
      <c r="AB45" s="106">
        <f t="shared" si="11"/>
        <v>2.3480026381580208</v>
      </c>
      <c r="AC45" s="106">
        <f t="shared" si="12"/>
        <v>0.18932963230338082</v>
      </c>
      <c r="AD45" s="106">
        <f t="shared" si="13"/>
        <v>1.7272254324295295</v>
      </c>
      <c r="AE45" s="107">
        <f t="shared" si="14"/>
        <v>6.6259649566798355</v>
      </c>
    </row>
    <row r="46" spans="2:31" ht="15" customHeight="1" x14ac:dyDescent="0.3">
      <c r="B46" s="49">
        <f t="shared" si="15"/>
        <v>35</v>
      </c>
      <c r="C46" s="59" t="s">
        <v>360</v>
      </c>
      <c r="D46" s="112" t="s">
        <v>31</v>
      </c>
      <c r="E46" s="60" t="s">
        <v>363</v>
      </c>
      <c r="F46" s="39">
        <v>1</v>
      </c>
      <c r="G46" s="40">
        <v>3.1</v>
      </c>
      <c r="H46" s="40">
        <v>6</v>
      </c>
      <c r="I46" s="120">
        <f t="shared" si="0"/>
        <v>3.2348589594942467</v>
      </c>
      <c r="J46" s="42">
        <f t="shared" si="1"/>
        <v>1.0435028901594343</v>
      </c>
      <c r="K46" s="41">
        <f t="shared" si="2"/>
        <v>0.9583107142589824</v>
      </c>
      <c r="L46" s="43">
        <f t="shared" si="3"/>
        <v>0.9033311533281102</v>
      </c>
      <c r="M46" s="43">
        <f t="shared" si="4"/>
        <v>3.1000000000000005</v>
      </c>
      <c r="N46" s="43">
        <f t="shared" si="5"/>
        <v>2.7871288222681176</v>
      </c>
      <c r="O46" s="43">
        <f t="shared" si="6"/>
        <v>6.365426077212649</v>
      </c>
      <c r="P46" s="44">
        <f t="shared" si="7"/>
        <v>1.7235902106367529</v>
      </c>
      <c r="Q46" s="45">
        <f t="shared" si="16"/>
        <v>0.32258064516129031</v>
      </c>
      <c r="R46" s="52">
        <v>6</v>
      </c>
      <c r="S46" s="53">
        <v>1.6353828954369192</v>
      </c>
      <c r="T46" s="53">
        <v>5.3481208434097312</v>
      </c>
      <c r="U46" s="53">
        <v>12.591587244072656</v>
      </c>
      <c r="V46" s="53">
        <f t="shared" si="8"/>
        <v>0.30578645160049706</v>
      </c>
      <c r="W46" s="52">
        <f t="shared" si="9"/>
        <v>7</v>
      </c>
      <c r="X46" s="53">
        <v>2.1673499186219098</v>
      </c>
      <c r="Y46" s="53">
        <v>6.3458113725816272</v>
      </c>
      <c r="Z46" s="53">
        <v>14.067140433005996</v>
      </c>
      <c r="AA46" s="53">
        <f t="shared" si="10"/>
        <v>0.34154023675938233</v>
      </c>
      <c r="AB46" s="53">
        <f t="shared" si="11"/>
        <v>6.4697179189884935</v>
      </c>
      <c r="AC46" s="53">
        <f t="shared" si="12"/>
        <v>1.8852573385378764</v>
      </c>
      <c r="AD46" s="53">
        <f t="shared" si="13"/>
        <v>5.8167539625668825</v>
      </c>
      <c r="AE46" s="54">
        <f t="shared" si="14"/>
        <v>13.284681017335259</v>
      </c>
    </row>
    <row r="47" spans="2:31" x14ac:dyDescent="0.3">
      <c r="B47" s="49">
        <f t="shared" si="15"/>
        <v>36</v>
      </c>
      <c r="C47" s="59" t="s">
        <v>360</v>
      </c>
      <c r="D47" s="112" t="s">
        <v>32</v>
      </c>
      <c r="E47" s="60" t="s">
        <v>362</v>
      </c>
      <c r="F47" s="39">
        <v>1</v>
      </c>
      <c r="G47" s="40">
        <v>5.3</v>
      </c>
      <c r="H47" s="40">
        <v>6</v>
      </c>
      <c r="I47" s="120">
        <f t="shared" si="0"/>
        <v>1.8170973966824597</v>
      </c>
      <c r="J47" s="42">
        <f t="shared" si="1"/>
        <v>0.34284856541178488</v>
      </c>
      <c r="K47" s="41">
        <f t="shared" si="2"/>
        <v>2.9167396363433249</v>
      </c>
      <c r="L47" s="43">
        <f t="shared" si="3"/>
        <v>0.84504372230143843</v>
      </c>
      <c r="M47" s="43">
        <f t="shared" si="4"/>
        <v>5.3</v>
      </c>
      <c r="N47" s="43">
        <f t="shared" si="5"/>
        <v>4.3667725774667909</v>
      </c>
      <c r="O47" s="43">
        <f t="shared" si="6"/>
        <v>12.944106168190759</v>
      </c>
      <c r="P47" s="44">
        <f t="shared" si="7"/>
        <v>3.9317578858087918</v>
      </c>
      <c r="Q47" s="45">
        <f t="shared" si="16"/>
        <v>0.18867924528301888</v>
      </c>
      <c r="R47" s="52">
        <v>3</v>
      </c>
      <c r="S47" s="53">
        <v>0.35184631840544622</v>
      </c>
      <c r="T47" s="53">
        <v>2.3659738927290714</v>
      </c>
      <c r="U47" s="53">
        <v>7.81472776394987</v>
      </c>
      <c r="V47" s="53">
        <f t="shared" si="8"/>
        <v>0.14871098936751298</v>
      </c>
      <c r="W47" s="52">
        <f t="shared" si="9"/>
        <v>4</v>
      </c>
      <c r="X47" s="53">
        <v>0.71072302281597644</v>
      </c>
      <c r="Y47" s="53">
        <v>3.3566940013967228</v>
      </c>
      <c r="Z47" s="53">
        <v>9.487729036988851</v>
      </c>
      <c r="AA47" s="53">
        <f t="shared" si="10"/>
        <v>0.21173303927025938</v>
      </c>
      <c r="AB47" s="53">
        <f t="shared" si="11"/>
        <v>3.6341947933649195</v>
      </c>
      <c r="AC47" s="53">
        <f t="shared" si="12"/>
        <v>0.57944405580256575</v>
      </c>
      <c r="AD47" s="53">
        <f t="shared" si="13"/>
        <v>2.994283427328023</v>
      </c>
      <c r="AE47" s="54">
        <f t="shared" si="14"/>
        <v>8.8757364606040738</v>
      </c>
    </row>
    <row r="48" spans="2:31" x14ac:dyDescent="0.3">
      <c r="B48" s="49">
        <f t="shared" si="15"/>
        <v>37</v>
      </c>
      <c r="C48" s="59" t="s">
        <v>360</v>
      </c>
      <c r="D48" s="112" t="s">
        <v>33</v>
      </c>
      <c r="E48" s="60" t="s">
        <v>362</v>
      </c>
      <c r="F48" s="39">
        <v>1</v>
      </c>
      <c r="G48" s="40">
        <v>5.3</v>
      </c>
      <c r="H48" s="40">
        <v>6</v>
      </c>
      <c r="I48" s="120">
        <f t="shared" si="0"/>
        <v>1.8170973966824597</v>
      </c>
      <c r="J48" s="42">
        <f t="shared" si="1"/>
        <v>0.34284856541178488</v>
      </c>
      <c r="K48" s="41">
        <f t="shared" si="2"/>
        <v>2.9167396363433249</v>
      </c>
      <c r="L48" s="43">
        <f t="shared" si="3"/>
        <v>0.84504372230143843</v>
      </c>
      <c r="M48" s="43">
        <f t="shared" si="4"/>
        <v>5.3</v>
      </c>
      <c r="N48" s="43">
        <f t="shared" si="5"/>
        <v>4.3667725774667909</v>
      </c>
      <c r="O48" s="43">
        <f t="shared" si="6"/>
        <v>12.944106168190759</v>
      </c>
      <c r="P48" s="44">
        <f t="shared" si="7"/>
        <v>3.9317578858087918</v>
      </c>
      <c r="Q48" s="45">
        <f t="shared" si="16"/>
        <v>0.18867924528301888</v>
      </c>
      <c r="R48" s="52">
        <v>3</v>
      </c>
      <c r="S48" s="53">
        <v>0.35184631840544622</v>
      </c>
      <c r="T48" s="53">
        <v>2.3659738927290714</v>
      </c>
      <c r="U48" s="53">
        <v>7.81472776394987</v>
      </c>
      <c r="V48" s="53">
        <f t="shared" si="8"/>
        <v>0.14871098936751298</v>
      </c>
      <c r="W48" s="52">
        <f t="shared" si="9"/>
        <v>4</v>
      </c>
      <c r="X48" s="53">
        <v>0.71072302281597644</v>
      </c>
      <c r="Y48" s="53">
        <v>3.3566940013967228</v>
      </c>
      <c r="Z48" s="53">
        <v>9.487729036988851</v>
      </c>
      <c r="AA48" s="53">
        <f t="shared" si="10"/>
        <v>0.21173303927025938</v>
      </c>
      <c r="AB48" s="53">
        <f t="shared" si="11"/>
        <v>3.6341947933649195</v>
      </c>
      <c r="AC48" s="53">
        <f t="shared" si="12"/>
        <v>0.57944405580256575</v>
      </c>
      <c r="AD48" s="53">
        <f t="shared" si="13"/>
        <v>2.994283427328023</v>
      </c>
      <c r="AE48" s="54">
        <f t="shared" si="14"/>
        <v>8.8757364606040738</v>
      </c>
    </row>
    <row r="49" spans="2:31" ht="15" customHeight="1" x14ac:dyDescent="0.3">
      <c r="B49" s="49">
        <f t="shared" si="15"/>
        <v>38</v>
      </c>
      <c r="C49" s="59" t="s">
        <v>360</v>
      </c>
      <c r="D49" s="112" t="s">
        <v>34</v>
      </c>
      <c r="E49" s="60" t="s">
        <v>188</v>
      </c>
      <c r="F49" s="39">
        <v>1</v>
      </c>
      <c r="G49" s="40">
        <v>4</v>
      </c>
      <c r="H49" s="40">
        <v>17</v>
      </c>
      <c r="I49" s="120">
        <f t="shared" si="0"/>
        <v>2.3714772644484672</v>
      </c>
      <c r="J49" s="42">
        <f t="shared" si="1"/>
        <v>0.5928693161121168</v>
      </c>
      <c r="K49" s="41">
        <f t="shared" si="2"/>
        <v>1.6867123543477349</v>
      </c>
      <c r="L49" s="43">
        <f t="shared" si="3"/>
        <v>0.87179826746217948</v>
      </c>
      <c r="M49" s="43">
        <f t="shared" si="4"/>
        <v>4</v>
      </c>
      <c r="N49" s="43">
        <f t="shared" si="5"/>
        <v>3.4541845554826032</v>
      </c>
      <c r="O49" s="43">
        <f t="shared" si="6"/>
        <v>8.993258661015533</v>
      </c>
      <c r="P49" s="44">
        <f t="shared" si="7"/>
        <v>2.5974698106794119</v>
      </c>
      <c r="Q49" s="45">
        <f t="shared" si="16"/>
        <v>0.25</v>
      </c>
      <c r="R49" s="52">
        <v>4</v>
      </c>
      <c r="S49" s="53">
        <v>0.71072302281597644</v>
      </c>
      <c r="T49" s="53">
        <v>3.3566940013967228</v>
      </c>
      <c r="U49" s="53">
        <v>9.487729036988851</v>
      </c>
      <c r="V49" s="53">
        <f t="shared" si="8"/>
        <v>0.21173303927025938</v>
      </c>
      <c r="W49" s="52">
        <f t="shared" si="9"/>
        <v>5</v>
      </c>
      <c r="X49" s="53">
        <v>1.1454762275641139</v>
      </c>
      <c r="Y49" s="53">
        <v>4.3514602221082166</v>
      </c>
      <c r="Z49" s="53">
        <v>11.070497754622684</v>
      </c>
      <c r="AA49" s="53">
        <f t="shared" si="10"/>
        <v>0.26323950331531426</v>
      </c>
      <c r="AB49" s="53">
        <f t="shared" si="11"/>
        <v>4.7429545288969344</v>
      </c>
      <c r="AC49" s="53">
        <f t="shared" si="12"/>
        <v>1.0337248852360612</v>
      </c>
      <c r="AD49" s="53">
        <f t="shared" si="13"/>
        <v>4.0957600702680139</v>
      </c>
      <c r="AE49" s="54">
        <f t="shared" si="14"/>
        <v>10.663654223951299</v>
      </c>
    </row>
    <row r="50" spans="2:31" x14ac:dyDescent="0.3">
      <c r="B50" s="49">
        <f t="shared" si="15"/>
        <v>39</v>
      </c>
      <c r="C50" s="59" t="s">
        <v>360</v>
      </c>
      <c r="D50" s="112" t="s">
        <v>35</v>
      </c>
      <c r="E50" s="60" t="s">
        <v>362</v>
      </c>
      <c r="F50" s="39">
        <v>1</v>
      </c>
      <c r="G50" s="40">
        <v>5.3</v>
      </c>
      <c r="H50" s="40">
        <v>6</v>
      </c>
      <c r="I50" s="120">
        <f t="shared" si="0"/>
        <v>1.8170973966824597</v>
      </c>
      <c r="J50" s="42">
        <f t="shared" si="1"/>
        <v>0.34284856541178488</v>
      </c>
      <c r="K50" s="41">
        <f t="shared" si="2"/>
        <v>2.9167396363433249</v>
      </c>
      <c r="L50" s="43">
        <f t="shared" si="3"/>
        <v>0.84504372230143843</v>
      </c>
      <c r="M50" s="43">
        <f t="shared" si="4"/>
        <v>5.3</v>
      </c>
      <c r="N50" s="43">
        <f t="shared" si="5"/>
        <v>4.3667725774667909</v>
      </c>
      <c r="O50" s="43">
        <f t="shared" si="6"/>
        <v>12.944106168190759</v>
      </c>
      <c r="P50" s="44">
        <f t="shared" si="7"/>
        <v>3.9317578858087918</v>
      </c>
      <c r="Q50" s="45">
        <f t="shared" si="16"/>
        <v>0.18867924528301888</v>
      </c>
      <c r="R50" s="52">
        <v>3</v>
      </c>
      <c r="S50" s="53">
        <v>0.35184631840544622</v>
      </c>
      <c r="T50" s="53">
        <v>2.3659738927290714</v>
      </c>
      <c r="U50" s="53">
        <v>7.81472776394987</v>
      </c>
      <c r="V50" s="53">
        <f t="shared" si="8"/>
        <v>0.14871098936751298</v>
      </c>
      <c r="W50" s="52">
        <f t="shared" si="9"/>
        <v>4</v>
      </c>
      <c r="X50" s="53">
        <v>0.71072302281597644</v>
      </c>
      <c r="Y50" s="53">
        <v>3.3566940013967228</v>
      </c>
      <c r="Z50" s="53">
        <v>9.487729036988851</v>
      </c>
      <c r="AA50" s="53">
        <f t="shared" si="10"/>
        <v>0.21173303927025938</v>
      </c>
      <c r="AB50" s="53">
        <f t="shared" si="11"/>
        <v>3.6341947933649195</v>
      </c>
      <c r="AC50" s="53">
        <f t="shared" si="12"/>
        <v>0.57944405580256575</v>
      </c>
      <c r="AD50" s="53">
        <f t="shared" si="13"/>
        <v>2.994283427328023</v>
      </c>
      <c r="AE50" s="54">
        <f t="shared" si="14"/>
        <v>8.8757364606040738</v>
      </c>
    </row>
    <row r="51" spans="2:31" ht="15" customHeight="1" x14ac:dyDescent="0.3">
      <c r="B51" s="49">
        <f t="shared" si="15"/>
        <v>40</v>
      </c>
      <c r="C51" s="59" t="s">
        <v>360</v>
      </c>
      <c r="D51" s="112" t="s">
        <v>36</v>
      </c>
      <c r="E51" s="60" t="s">
        <v>364</v>
      </c>
      <c r="F51" s="39">
        <v>1</v>
      </c>
      <c r="G51" s="40">
        <v>4</v>
      </c>
      <c r="H51" s="40">
        <v>17</v>
      </c>
      <c r="I51" s="120">
        <f t="shared" si="0"/>
        <v>2.3714772644484672</v>
      </c>
      <c r="J51" s="42">
        <f t="shared" si="1"/>
        <v>0.5928693161121168</v>
      </c>
      <c r="K51" s="41">
        <f t="shared" si="2"/>
        <v>1.6867123543477349</v>
      </c>
      <c r="L51" s="43">
        <f t="shared" si="3"/>
        <v>0.87179826746217948</v>
      </c>
      <c r="M51" s="43">
        <f t="shared" si="4"/>
        <v>4</v>
      </c>
      <c r="N51" s="43">
        <f t="shared" si="5"/>
        <v>3.4541845554826032</v>
      </c>
      <c r="O51" s="43">
        <f t="shared" si="6"/>
        <v>8.993258661015533</v>
      </c>
      <c r="P51" s="44">
        <f t="shared" si="7"/>
        <v>2.5974698106794119</v>
      </c>
      <c r="Q51" s="45">
        <f t="shared" si="16"/>
        <v>0.25</v>
      </c>
      <c r="R51" s="52">
        <v>4</v>
      </c>
      <c r="S51" s="53">
        <v>0.71072302281597644</v>
      </c>
      <c r="T51" s="53">
        <v>3.3566940013967228</v>
      </c>
      <c r="U51" s="53">
        <v>9.487729036988851</v>
      </c>
      <c r="V51" s="53">
        <f t="shared" si="8"/>
        <v>0.21173303927025938</v>
      </c>
      <c r="W51" s="52">
        <f t="shared" si="9"/>
        <v>5</v>
      </c>
      <c r="X51" s="53">
        <v>1.1454762275641139</v>
      </c>
      <c r="Y51" s="53">
        <v>4.3514602221082166</v>
      </c>
      <c r="Z51" s="53">
        <v>11.070497754622684</v>
      </c>
      <c r="AA51" s="53">
        <f t="shared" si="10"/>
        <v>0.26323950331531426</v>
      </c>
      <c r="AB51" s="53">
        <f t="shared" si="11"/>
        <v>4.7429545288969344</v>
      </c>
      <c r="AC51" s="53">
        <f t="shared" si="12"/>
        <v>1.0337248852360612</v>
      </c>
      <c r="AD51" s="53">
        <f t="shared" si="13"/>
        <v>4.0957600702680139</v>
      </c>
      <c r="AE51" s="54">
        <f t="shared" si="14"/>
        <v>10.663654223951299</v>
      </c>
    </row>
    <row r="52" spans="2:31" x14ac:dyDescent="0.3">
      <c r="B52" s="49">
        <f t="shared" si="15"/>
        <v>41</v>
      </c>
      <c r="C52" s="59" t="s">
        <v>360</v>
      </c>
      <c r="D52" s="112" t="s">
        <v>37</v>
      </c>
      <c r="E52" s="60" t="s">
        <v>362</v>
      </c>
      <c r="F52" s="39">
        <v>1</v>
      </c>
      <c r="G52" s="40">
        <v>5.3</v>
      </c>
      <c r="H52" s="40">
        <v>6</v>
      </c>
      <c r="I52" s="120">
        <f t="shared" si="0"/>
        <v>1.8170973966824597</v>
      </c>
      <c r="J52" s="42">
        <f t="shared" si="1"/>
        <v>0.34284856541178488</v>
      </c>
      <c r="K52" s="41">
        <f t="shared" si="2"/>
        <v>2.9167396363433249</v>
      </c>
      <c r="L52" s="43">
        <f t="shared" si="3"/>
        <v>0.84504372230143843</v>
      </c>
      <c r="M52" s="43">
        <f t="shared" si="4"/>
        <v>5.3</v>
      </c>
      <c r="N52" s="43">
        <f t="shared" si="5"/>
        <v>4.3667725774667909</v>
      </c>
      <c r="O52" s="43">
        <f t="shared" si="6"/>
        <v>12.944106168190759</v>
      </c>
      <c r="P52" s="44">
        <f t="shared" si="7"/>
        <v>3.9317578858087918</v>
      </c>
      <c r="Q52" s="45">
        <f t="shared" si="16"/>
        <v>0.18867924528301888</v>
      </c>
      <c r="R52" s="52">
        <v>3</v>
      </c>
      <c r="S52" s="53">
        <v>0.35184631840544622</v>
      </c>
      <c r="T52" s="53">
        <v>2.3659738927290714</v>
      </c>
      <c r="U52" s="53">
        <v>7.81472776394987</v>
      </c>
      <c r="V52" s="53">
        <f t="shared" si="8"/>
        <v>0.14871098936751298</v>
      </c>
      <c r="W52" s="52">
        <f t="shared" si="9"/>
        <v>4</v>
      </c>
      <c r="X52" s="53">
        <v>0.71072302281597644</v>
      </c>
      <c r="Y52" s="53">
        <v>3.3566940013967228</v>
      </c>
      <c r="Z52" s="53">
        <v>9.487729036988851</v>
      </c>
      <c r="AA52" s="53">
        <f t="shared" si="10"/>
        <v>0.21173303927025938</v>
      </c>
      <c r="AB52" s="53">
        <f t="shared" si="11"/>
        <v>3.6341947933649195</v>
      </c>
      <c r="AC52" s="53">
        <f t="shared" si="12"/>
        <v>0.57944405580256575</v>
      </c>
      <c r="AD52" s="53">
        <f t="shared" si="13"/>
        <v>2.994283427328023</v>
      </c>
      <c r="AE52" s="54">
        <f t="shared" si="14"/>
        <v>8.8757364606040738</v>
      </c>
    </row>
    <row r="53" spans="2:31" ht="15" customHeight="1" x14ac:dyDescent="0.3">
      <c r="B53" s="49">
        <f t="shared" si="15"/>
        <v>42</v>
      </c>
      <c r="C53" s="59" t="s">
        <v>360</v>
      </c>
      <c r="D53" s="112" t="s">
        <v>38</v>
      </c>
      <c r="E53" s="60" t="s">
        <v>189</v>
      </c>
      <c r="F53" s="39">
        <v>0.5</v>
      </c>
      <c r="G53" s="40">
        <v>5</v>
      </c>
      <c r="H53" s="40">
        <v>85</v>
      </c>
      <c r="I53" s="120">
        <f t="shared" si="0"/>
        <v>1.1740013190790104</v>
      </c>
      <c r="J53" s="42">
        <f t="shared" si="1"/>
        <v>0.23480026381580207</v>
      </c>
      <c r="K53" s="41">
        <f t="shared" si="2"/>
        <v>4.2589389966975837</v>
      </c>
      <c r="L53" s="43">
        <f t="shared" si="3"/>
        <v>0.40317167712364155</v>
      </c>
      <c r="M53" s="43">
        <f t="shared" si="4"/>
        <v>5</v>
      </c>
      <c r="N53" s="43">
        <f t="shared" si="5"/>
        <v>3.6780738751309854</v>
      </c>
      <c r="O53" s="43">
        <f t="shared" si="6"/>
        <v>14.109790272377683</v>
      </c>
      <c r="P53" s="44">
        <f t="shared" si="7"/>
        <v>4.614617533825303</v>
      </c>
      <c r="Q53" s="45">
        <f t="shared" si="16"/>
        <v>0.1</v>
      </c>
      <c r="R53" s="52">
        <v>2</v>
      </c>
      <c r="S53" s="53">
        <v>0.10258658882167279</v>
      </c>
      <c r="T53" s="53">
        <v>1.3862943760896287</v>
      </c>
      <c r="U53" s="53">
        <v>5.9914645471914136</v>
      </c>
      <c r="V53" s="53">
        <f t="shared" si="8"/>
        <v>7.4000580678284605E-2</v>
      </c>
      <c r="W53" s="52">
        <f t="shared" si="9"/>
        <v>3</v>
      </c>
      <c r="X53" s="53">
        <v>0.35184631840544622</v>
      </c>
      <c r="Y53" s="53">
        <v>2.3659738927290714</v>
      </c>
      <c r="Z53" s="53">
        <v>7.81472776394987</v>
      </c>
      <c r="AA53" s="53">
        <f t="shared" si="10"/>
        <v>0.14871098936751298</v>
      </c>
      <c r="AB53" s="53">
        <f t="shared" si="11"/>
        <v>2.3480026381580208</v>
      </c>
      <c r="AC53" s="53">
        <f t="shared" si="12"/>
        <v>0.18932963230338082</v>
      </c>
      <c r="AD53" s="53">
        <f t="shared" si="13"/>
        <v>1.7272254324295295</v>
      </c>
      <c r="AE53" s="54">
        <f t="shared" si="14"/>
        <v>6.6259649566798355</v>
      </c>
    </row>
    <row r="54" spans="2:31" ht="15" customHeight="1" x14ac:dyDescent="0.3">
      <c r="B54" s="49">
        <f t="shared" si="15"/>
        <v>43</v>
      </c>
      <c r="C54" s="59" t="s">
        <v>360</v>
      </c>
      <c r="D54" s="112" t="s">
        <v>39</v>
      </c>
      <c r="E54" s="60" t="s">
        <v>187</v>
      </c>
      <c r="F54" s="39">
        <v>1</v>
      </c>
      <c r="G54" s="40">
        <v>3.1</v>
      </c>
      <c r="H54" s="40">
        <v>6</v>
      </c>
      <c r="I54" s="120">
        <f t="shared" si="0"/>
        <v>3.2348589594942467</v>
      </c>
      <c r="J54" s="42">
        <f t="shared" si="1"/>
        <v>1.0435028901594343</v>
      </c>
      <c r="K54" s="41">
        <f t="shared" si="2"/>
        <v>0.9583107142589824</v>
      </c>
      <c r="L54" s="43">
        <f t="shared" si="3"/>
        <v>0.9033311533281102</v>
      </c>
      <c r="M54" s="43">
        <f t="shared" si="4"/>
        <v>3.1000000000000005</v>
      </c>
      <c r="N54" s="43">
        <f t="shared" si="5"/>
        <v>2.7871288222681176</v>
      </c>
      <c r="O54" s="43">
        <f t="shared" si="6"/>
        <v>6.365426077212649</v>
      </c>
      <c r="P54" s="44">
        <f t="shared" si="7"/>
        <v>1.7235902106367529</v>
      </c>
      <c r="Q54" s="45">
        <f t="shared" si="16"/>
        <v>0.32258064516129031</v>
      </c>
      <c r="R54" s="52">
        <v>6</v>
      </c>
      <c r="S54" s="53">
        <v>1.6353828954369192</v>
      </c>
      <c r="T54" s="53">
        <v>5.3481208434097312</v>
      </c>
      <c r="U54" s="53">
        <v>12.591587244072656</v>
      </c>
      <c r="V54" s="53">
        <f t="shared" si="8"/>
        <v>0.30578645160049706</v>
      </c>
      <c r="W54" s="52">
        <f t="shared" si="9"/>
        <v>7</v>
      </c>
      <c r="X54" s="53">
        <v>2.1673499186219098</v>
      </c>
      <c r="Y54" s="53">
        <v>6.3458113725816272</v>
      </c>
      <c r="Z54" s="53">
        <v>14.067140433005996</v>
      </c>
      <c r="AA54" s="53">
        <f t="shared" si="10"/>
        <v>0.34154023675938233</v>
      </c>
      <c r="AB54" s="53">
        <f t="shared" si="11"/>
        <v>6.4697179189884935</v>
      </c>
      <c r="AC54" s="53">
        <f t="shared" si="12"/>
        <v>1.8852573385378764</v>
      </c>
      <c r="AD54" s="53">
        <f t="shared" si="13"/>
        <v>5.8167539625668825</v>
      </c>
      <c r="AE54" s="54">
        <f t="shared" si="14"/>
        <v>13.284681017335259</v>
      </c>
    </row>
    <row r="55" spans="2:31" x14ac:dyDescent="0.3">
      <c r="B55" s="49">
        <f t="shared" si="15"/>
        <v>44</v>
      </c>
      <c r="C55" s="59" t="s">
        <v>360</v>
      </c>
      <c r="D55" s="112" t="s">
        <v>40</v>
      </c>
      <c r="E55" s="60" t="s">
        <v>362</v>
      </c>
      <c r="F55" s="39">
        <v>1</v>
      </c>
      <c r="G55" s="40">
        <v>5.3</v>
      </c>
      <c r="H55" s="40">
        <v>6</v>
      </c>
      <c r="I55" s="120">
        <f t="shared" si="0"/>
        <v>1.8170973966824597</v>
      </c>
      <c r="J55" s="42">
        <f t="shared" si="1"/>
        <v>0.34284856541178488</v>
      </c>
      <c r="K55" s="41">
        <f t="shared" si="2"/>
        <v>2.9167396363433249</v>
      </c>
      <c r="L55" s="43">
        <f t="shared" si="3"/>
        <v>0.84504372230143843</v>
      </c>
      <c r="M55" s="43">
        <f t="shared" si="4"/>
        <v>5.3</v>
      </c>
      <c r="N55" s="43">
        <f t="shared" si="5"/>
        <v>4.3667725774667909</v>
      </c>
      <c r="O55" s="43">
        <f t="shared" si="6"/>
        <v>12.944106168190759</v>
      </c>
      <c r="P55" s="44">
        <f t="shared" si="7"/>
        <v>3.9317578858087918</v>
      </c>
      <c r="Q55" s="45">
        <f t="shared" si="16"/>
        <v>0.18867924528301888</v>
      </c>
      <c r="R55" s="52">
        <v>3</v>
      </c>
      <c r="S55" s="53">
        <v>0.35184631840544622</v>
      </c>
      <c r="T55" s="53">
        <v>2.3659738927290714</v>
      </c>
      <c r="U55" s="53">
        <v>7.81472776394987</v>
      </c>
      <c r="V55" s="53">
        <f t="shared" si="8"/>
        <v>0.14871098936751298</v>
      </c>
      <c r="W55" s="52">
        <f t="shared" si="9"/>
        <v>4</v>
      </c>
      <c r="X55" s="53">
        <v>0.71072302281597644</v>
      </c>
      <c r="Y55" s="53">
        <v>3.3566940013967228</v>
      </c>
      <c r="Z55" s="53">
        <v>9.487729036988851</v>
      </c>
      <c r="AA55" s="53">
        <f t="shared" si="10"/>
        <v>0.21173303927025938</v>
      </c>
      <c r="AB55" s="53">
        <f t="shared" si="11"/>
        <v>3.6341947933649195</v>
      </c>
      <c r="AC55" s="53">
        <f t="shared" si="12"/>
        <v>0.57944405580256575</v>
      </c>
      <c r="AD55" s="53">
        <f t="shared" si="13"/>
        <v>2.994283427328023</v>
      </c>
      <c r="AE55" s="54">
        <f t="shared" si="14"/>
        <v>8.8757364606040738</v>
      </c>
    </row>
    <row r="56" spans="2:31" x14ac:dyDescent="0.3">
      <c r="B56" s="49">
        <f t="shared" si="15"/>
        <v>45</v>
      </c>
      <c r="C56" s="59" t="s">
        <v>365</v>
      </c>
      <c r="D56" s="112" t="s">
        <v>41</v>
      </c>
      <c r="E56" s="60" t="s">
        <v>362</v>
      </c>
      <c r="F56" s="39">
        <v>1</v>
      </c>
      <c r="G56" s="40">
        <v>5.3</v>
      </c>
      <c r="H56" s="40">
        <v>6</v>
      </c>
      <c r="I56" s="120">
        <f t="shared" si="0"/>
        <v>1.8170973966824597</v>
      </c>
      <c r="J56" s="42">
        <f t="shared" si="1"/>
        <v>0.34284856541178488</v>
      </c>
      <c r="K56" s="41">
        <f t="shared" si="2"/>
        <v>2.9167396363433249</v>
      </c>
      <c r="L56" s="43">
        <f t="shared" si="3"/>
        <v>0.84504372230143843</v>
      </c>
      <c r="M56" s="43">
        <f t="shared" si="4"/>
        <v>5.3</v>
      </c>
      <c r="N56" s="43">
        <f t="shared" si="5"/>
        <v>4.3667725774667909</v>
      </c>
      <c r="O56" s="43">
        <f t="shared" si="6"/>
        <v>12.944106168190759</v>
      </c>
      <c r="P56" s="44">
        <f t="shared" si="7"/>
        <v>3.9317578858087918</v>
      </c>
      <c r="Q56" s="45">
        <f t="shared" si="16"/>
        <v>0.18867924528301888</v>
      </c>
      <c r="R56" s="52">
        <v>3</v>
      </c>
      <c r="S56" s="53">
        <v>0.35184631840544622</v>
      </c>
      <c r="T56" s="53">
        <v>2.3659738927290714</v>
      </c>
      <c r="U56" s="53">
        <v>7.81472776394987</v>
      </c>
      <c r="V56" s="53">
        <f t="shared" si="8"/>
        <v>0.14871098936751298</v>
      </c>
      <c r="W56" s="52">
        <f t="shared" si="9"/>
        <v>4</v>
      </c>
      <c r="X56" s="53">
        <v>0.71072302281597644</v>
      </c>
      <c r="Y56" s="53">
        <v>3.3566940013967228</v>
      </c>
      <c r="Z56" s="53">
        <v>9.487729036988851</v>
      </c>
      <c r="AA56" s="53">
        <f t="shared" si="10"/>
        <v>0.21173303927025938</v>
      </c>
      <c r="AB56" s="53">
        <f t="shared" si="11"/>
        <v>3.6341947933649195</v>
      </c>
      <c r="AC56" s="53">
        <f t="shared" si="12"/>
        <v>0.57944405580256575</v>
      </c>
      <c r="AD56" s="53">
        <f t="shared" si="13"/>
        <v>2.994283427328023</v>
      </c>
      <c r="AE56" s="54">
        <f t="shared" si="14"/>
        <v>8.8757364606040738</v>
      </c>
    </row>
    <row r="57" spans="2:31" ht="15" customHeight="1" x14ac:dyDescent="0.3">
      <c r="B57" s="49">
        <f t="shared" si="15"/>
        <v>46</v>
      </c>
      <c r="C57" s="59" t="s">
        <v>365</v>
      </c>
      <c r="D57" s="112" t="s">
        <v>43</v>
      </c>
      <c r="E57" s="60" t="s">
        <v>361</v>
      </c>
      <c r="F57" s="39">
        <v>0.5</v>
      </c>
      <c r="G57" s="40">
        <v>5</v>
      </c>
      <c r="H57" s="40">
        <v>85</v>
      </c>
      <c r="I57" s="120">
        <f t="shared" ref="I57:I63" si="17">AB57/2</f>
        <v>1.1740013190790104</v>
      </c>
      <c r="J57" s="42">
        <f t="shared" ref="J57:J63" si="18">I57/G57</f>
        <v>0.23480026381580207</v>
      </c>
      <c r="K57" s="41">
        <f t="shared" ref="K57:K63" si="19">1/J57</f>
        <v>4.2589389966975837</v>
      </c>
      <c r="L57" s="43">
        <f t="shared" ref="L57:L63" si="20">1/2/J57*AC57</f>
        <v>0.40317167712364155</v>
      </c>
      <c r="M57" s="43">
        <f t="shared" ref="M57:M63" si="21">I57/J57</f>
        <v>5</v>
      </c>
      <c r="N57" s="43">
        <f t="shared" ref="N57:N63" si="22">1/2/J57*AD57</f>
        <v>3.6780738751309854</v>
      </c>
      <c r="O57" s="43">
        <f t="shared" ref="O57:O63" si="23">1/2/J57*AE57</f>
        <v>14.109790272377683</v>
      </c>
      <c r="P57" s="44">
        <f t="shared" ref="P57:P63" si="24">SQRT(M57/J57)</f>
        <v>4.614617533825303</v>
      </c>
      <c r="Q57" s="45">
        <f t="shared" ref="Q57:Q68" si="25">F57/G57</f>
        <v>0.1</v>
      </c>
      <c r="R57" s="52">
        <v>2</v>
      </c>
      <c r="S57" s="53">
        <v>0.10258658882167279</v>
      </c>
      <c r="T57" s="53">
        <v>1.3862943760896287</v>
      </c>
      <c r="U57" s="53">
        <v>5.9914645471914136</v>
      </c>
      <c r="V57" s="53">
        <f t="shared" ref="V57:V63" si="26">S57/T57</f>
        <v>7.4000580678284605E-2</v>
      </c>
      <c r="W57" s="52">
        <f t="shared" ref="W57:W63" si="27">R57+1</f>
        <v>3</v>
      </c>
      <c r="X57" s="53">
        <v>0.35184631840544622</v>
      </c>
      <c r="Y57" s="53">
        <v>2.3659738927290714</v>
      </c>
      <c r="Z57" s="53">
        <v>7.81472776394987</v>
      </c>
      <c r="AA57" s="53">
        <f t="shared" ref="AA57:AA63" si="28">X57/Y57</f>
        <v>0.14871098936751298</v>
      </c>
      <c r="AB57" s="53">
        <f t="shared" ref="AB57:AB63" si="29">(Q57-V57)/(AA57-V57)*(W57-R57)+R57</f>
        <v>2.3480026381580208</v>
      </c>
      <c r="AC57" s="53">
        <f t="shared" ref="AC57:AC63" si="30">(Q57-V57)/(AA57-V57)*(X57-S57)+S57</f>
        <v>0.18932963230338082</v>
      </c>
      <c r="AD57" s="53">
        <f t="shared" ref="AD57:AD63" si="31">(Q57-V57)/(AA57-V57)*(Y57-T57)+T57</f>
        <v>1.7272254324295295</v>
      </c>
      <c r="AE57" s="54">
        <f t="shared" ref="AE57:AE63" si="32">(Q57-V57)/(AA57-V57)*(Z57-U57)+U57</f>
        <v>6.6259649566798355</v>
      </c>
    </row>
    <row r="58" spans="2:31" x14ac:dyDescent="0.3">
      <c r="B58" s="49">
        <f t="shared" si="15"/>
        <v>47</v>
      </c>
      <c r="C58" s="59" t="s">
        <v>365</v>
      </c>
      <c r="D58" s="112" t="s">
        <v>44</v>
      </c>
      <c r="E58" s="60" t="s">
        <v>362</v>
      </c>
      <c r="F58" s="39">
        <v>1</v>
      </c>
      <c r="G58" s="40">
        <v>5.3</v>
      </c>
      <c r="H58" s="40">
        <v>6</v>
      </c>
      <c r="I58" s="120">
        <f t="shared" si="17"/>
        <v>1.8170973966824597</v>
      </c>
      <c r="J58" s="42">
        <f t="shared" si="18"/>
        <v>0.34284856541178488</v>
      </c>
      <c r="K58" s="41">
        <f t="shared" si="19"/>
        <v>2.9167396363433249</v>
      </c>
      <c r="L58" s="43">
        <f t="shared" si="20"/>
        <v>0.84504372230143843</v>
      </c>
      <c r="M58" s="43">
        <f t="shared" si="21"/>
        <v>5.3</v>
      </c>
      <c r="N58" s="43">
        <f t="shared" si="22"/>
        <v>4.3667725774667909</v>
      </c>
      <c r="O58" s="43">
        <f t="shared" si="23"/>
        <v>12.944106168190759</v>
      </c>
      <c r="P58" s="44">
        <f t="shared" si="24"/>
        <v>3.9317578858087918</v>
      </c>
      <c r="Q58" s="45">
        <f t="shared" si="25"/>
        <v>0.18867924528301888</v>
      </c>
      <c r="R58" s="52">
        <v>3</v>
      </c>
      <c r="S58" s="53">
        <v>0.35184631840544622</v>
      </c>
      <c r="T58" s="53">
        <v>2.3659738927290714</v>
      </c>
      <c r="U58" s="53">
        <v>7.81472776394987</v>
      </c>
      <c r="V58" s="53">
        <f t="shared" si="26"/>
        <v>0.14871098936751298</v>
      </c>
      <c r="W58" s="52">
        <f t="shared" si="27"/>
        <v>4</v>
      </c>
      <c r="X58" s="53">
        <v>0.71072302281597644</v>
      </c>
      <c r="Y58" s="53">
        <v>3.3566940013967228</v>
      </c>
      <c r="Z58" s="53">
        <v>9.487729036988851</v>
      </c>
      <c r="AA58" s="53">
        <f t="shared" si="28"/>
        <v>0.21173303927025938</v>
      </c>
      <c r="AB58" s="53">
        <f t="shared" si="29"/>
        <v>3.6341947933649195</v>
      </c>
      <c r="AC58" s="53">
        <f t="shared" si="30"/>
        <v>0.57944405580256575</v>
      </c>
      <c r="AD58" s="53">
        <f t="shared" si="31"/>
        <v>2.994283427328023</v>
      </c>
      <c r="AE58" s="54">
        <f t="shared" si="32"/>
        <v>8.8757364606040738</v>
      </c>
    </row>
    <row r="59" spans="2:31" ht="15" customHeight="1" x14ac:dyDescent="0.3">
      <c r="B59" s="49">
        <f t="shared" si="15"/>
        <v>48</v>
      </c>
      <c r="C59" s="59" t="s">
        <v>365</v>
      </c>
      <c r="D59" s="112" t="s">
        <v>45</v>
      </c>
      <c r="E59" s="60" t="s">
        <v>187</v>
      </c>
      <c r="F59" s="39">
        <v>1</v>
      </c>
      <c r="G59" s="40">
        <v>3.1</v>
      </c>
      <c r="H59" s="40">
        <v>6</v>
      </c>
      <c r="I59" s="120">
        <f t="shared" si="17"/>
        <v>3.2348589594942467</v>
      </c>
      <c r="J59" s="42">
        <f t="shared" si="18"/>
        <v>1.0435028901594343</v>
      </c>
      <c r="K59" s="41">
        <f t="shared" si="19"/>
        <v>0.9583107142589824</v>
      </c>
      <c r="L59" s="43">
        <f t="shared" si="20"/>
        <v>0.9033311533281102</v>
      </c>
      <c r="M59" s="43">
        <f t="shared" si="21"/>
        <v>3.1000000000000005</v>
      </c>
      <c r="N59" s="43">
        <f t="shared" si="22"/>
        <v>2.7871288222681176</v>
      </c>
      <c r="O59" s="43">
        <f t="shared" si="23"/>
        <v>6.365426077212649</v>
      </c>
      <c r="P59" s="44">
        <f t="shared" si="24"/>
        <v>1.7235902106367529</v>
      </c>
      <c r="Q59" s="45">
        <f t="shared" si="25"/>
        <v>0.32258064516129031</v>
      </c>
      <c r="R59" s="52">
        <v>6</v>
      </c>
      <c r="S59" s="53">
        <v>1.6353828954369192</v>
      </c>
      <c r="T59" s="53">
        <v>5.3481208434097312</v>
      </c>
      <c r="U59" s="53">
        <v>12.591587244072656</v>
      </c>
      <c r="V59" s="53">
        <f t="shared" si="26"/>
        <v>0.30578645160049706</v>
      </c>
      <c r="W59" s="52">
        <f t="shared" si="27"/>
        <v>7</v>
      </c>
      <c r="X59" s="53">
        <v>2.1673499186219098</v>
      </c>
      <c r="Y59" s="53">
        <v>6.3458113725816272</v>
      </c>
      <c r="Z59" s="53">
        <v>14.067140433005996</v>
      </c>
      <c r="AA59" s="53">
        <f t="shared" si="28"/>
        <v>0.34154023675938233</v>
      </c>
      <c r="AB59" s="53">
        <f t="shared" si="29"/>
        <v>6.4697179189884935</v>
      </c>
      <c r="AC59" s="53">
        <f t="shared" si="30"/>
        <v>1.8852573385378764</v>
      </c>
      <c r="AD59" s="53">
        <f t="shared" si="31"/>
        <v>5.8167539625668825</v>
      </c>
      <c r="AE59" s="54">
        <f t="shared" si="32"/>
        <v>13.284681017335259</v>
      </c>
    </row>
    <row r="60" spans="2:31" x14ac:dyDescent="0.3">
      <c r="B60" s="49">
        <f t="shared" si="15"/>
        <v>49</v>
      </c>
      <c r="C60" s="59" t="s">
        <v>365</v>
      </c>
      <c r="D60" s="112" t="s">
        <v>46</v>
      </c>
      <c r="E60" s="60" t="s">
        <v>362</v>
      </c>
      <c r="F60" s="39">
        <v>1</v>
      </c>
      <c r="G60" s="40">
        <v>5.3</v>
      </c>
      <c r="H60" s="40">
        <v>6</v>
      </c>
      <c r="I60" s="120">
        <f t="shared" si="17"/>
        <v>1.8170973966824597</v>
      </c>
      <c r="J60" s="42">
        <f t="shared" si="18"/>
        <v>0.34284856541178488</v>
      </c>
      <c r="K60" s="41">
        <f t="shared" si="19"/>
        <v>2.9167396363433249</v>
      </c>
      <c r="L60" s="43">
        <f t="shared" si="20"/>
        <v>0.84504372230143843</v>
      </c>
      <c r="M60" s="43">
        <f t="shared" si="21"/>
        <v>5.3</v>
      </c>
      <c r="N60" s="43">
        <f t="shared" si="22"/>
        <v>4.3667725774667909</v>
      </c>
      <c r="O60" s="43">
        <f t="shared" si="23"/>
        <v>12.944106168190759</v>
      </c>
      <c r="P60" s="44">
        <f t="shared" si="24"/>
        <v>3.9317578858087918</v>
      </c>
      <c r="Q60" s="45">
        <f t="shared" si="25"/>
        <v>0.18867924528301888</v>
      </c>
      <c r="R60" s="52">
        <v>3</v>
      </c>
      <c r="S60" s="53">
        <v>0.35184631840544622</v>
      </c>
      <c r="T60" s="53">
        <v>2.3659738927290714</v>
      </c>
      <c r="U60" s="53">
        <v>7.81472776394987</v>
      </c>
      <c r="V60" s="53">
        <f t="shared" si="26"/>
        <v>0.14871098936751298</v>
      </c>
      <c r="W60" s="52">
        <f t="shared" si="27"/>
        <v>4</v>
      </c>
      <c r="X60" s="53">
        <v>0.71072302281597644</v>
      </c>
      <c r="Y60" s="53">
        <v>3.3566940013967228</v>
      </c>
      <c r="Z60" s="53">
        <v>9.487729036988851</v>
      </c>
      <c r="AA60" s="53">
        <f t="shared" si="28"/>
        <v>0.21173303927025938</v>
      </c>
      <c r="AB60" s="53">
        <f t="shared" si="29"/>
        <v>3.6341947933649195</v>
      </c>
      <c r="AC60" s="53">
        <f t="shared" si="30"/>
        <v>0.57944405580256575</v>
      </c>
      <c r="AD60" s="53">
        <f t="shared" si="31"/>
        <v>2.994283427328023</v>
      </c>
      <c r="AE60" s="54">
        <f t="shared" si="32"/>
        <v>8.8757364606040738</v>
      </c>
    </row>
    <row r="61" spans="2:31" ht="15" customHeight="1" x14ac:dyDescent="0.3">
      <c r="B61" s="49">
        <f t="shared" si="15"/>
        <v>50</v>
      </c>
      <c r="C61" s="59" t="s">
        <v>365</v>
      </c>
      <c r="D61" s="112" t="s">
        <v>47</v>
      </c>
      <c r="E61" s="60" t="s">
        <v>366</v>
      </c>
      <c r="F61" s="39">
        <v>1</v>
      </c>
      <c r="G61" s="40">
        <v>4</v>
      </c>
      <c r="H61" s="40">
        <v>17</v>
      </c>
      <c r="I61" s="120">
        <f t="shared" si="17"/>
        <v>2.3714772644484672</v>
      </c>
      <c r="J61" s="42">
        <f t="shared" si="18"/>
        <v>0.5928693161121168</v>
      </c>
      <c r="K61" s="41">
        <f t="shared" si="19"/>
        <v>1.6867123543477349</v>
      </c>
      <c r="L61" s="43">
        <f t="shared" si="20"/>
        <v>0.87179826746217948</v>
      </c>
      <c r="M61" s="43">
        <f t="shared" si="21"/>
        <v>4</v>
      </c>
      <c r="N61" s="43">
        <f t="shared" si="22"/>
        <v>3.4541845554826032</v>
      </c>
      <c r="O61" s="43">
        <f t="shared" si="23"/>
        <v>8.993258661015533</v>
      </c>
      <c r="P61" s="44">
        <f t="shared" si="24"/>
        <v>2.5974698106794119</v>
      </c>
      <c r="Q61" s="45">
        <f t="shared" si="25"/>
        <v>0.25</v>
      </c>
      <c r="R61" s="52">
        <v>4</v>
      </c>
      <c r="S61" s="53">
        <v>0.71072302281597644</v>
      </c>
      <c r="T61" s="53">
        <v>3.3566940013967228</v>
      </c>
      <c r="U61" s="53">
        <v>9.487729036988851</v>
      </c>
      <c r="V61" s="53">
        <f t="shared" si="26"/>
        <v>0.21173303927025938</v>
      </c>
      <c r="W61" s="52">
        <f t="shared" si="27"/>
        <v>5</v>
      </c>
      <c r="X61" s="53">
        <v>1.1454762275641139</v>
      </c>
      <c r="Y61" s="53">
        <v>4.3514602221082166</v>
      </c>
      <c r="Z61" s="53">
        <v>11.070497754622684</v>
      </c>
      <c r="AA61" s="53">
        <f t="shared" si="28"/>
        <v>0.26323950331531426</v>
      </c>
      <c r="AB61" s="53">
        <f t="shared" si="29"/>
        <v>4.7429545288969344</v>
      </c>
      <c r="AC61" s="53">
        <f t="shared" si="30"/>
        <v>1.0337248852360612</v>
      </c>
      <c r="AD61" s="53">
        <f t="shared" si="31"/>
        <v>4.0957600702680139</v>
      </c>
      <c r="AE61" s="54">
        <f t="shared" si="32"/>
        <v>10.663654223951299</v>
      </c>
    </row>
    <row r="62" spans="2:31" ht="15" customHeight="1" x14ac:dyDescent="0.3">
      <c r="B62" s="49">
        <f t="shared" si="15"/>
        <v>51</v>
      </c>
      <c r="C62" s="59" t="s">
        <v>365</v>
      </c>
      <c r="D62" s="112" t="s">
        <v>48</v>
      </c>
      <c r="E62" s="60" t="s">
        <v>367</v>
      </c>
      <c r="F62" s="39">
        <v>1</v>
      </c>
      <c r="G62" s="40">
        <v>4</v>
      </c>
      <c r="H62" s="40">
        <v>17</v>
      </c>
      <c r="I62" s="120">
        <f t="shared" si="17"/>
        <v>2.3714772644484672</v>
      </c>
      <c r="J62" s="42">
        <f t="shared" si="18"/>
        <v>0.5928693161121168</v>
      </c>
      <c r="K62" s="41">
        <f t="shared" si="19"/>
        <v>1.6867123543477349</v>
      </c>
      <c r="L62" s="43">
        <f t="shared" si="20"/>
        <v>0.87179826746217948</v>
      </c>
      <c r="M62" s="43">
        <f t="shared" si="21"/>
        <v>4</v>
      </c>
      <c r="N62" s="43">
        <f t="shared" si="22"/>
        <v>3.4541845554826032</v>
      </c>
      <c r="O62" s="43">
        <f t="shared" si="23"/>
        <v>8.993258661015533</v>
      </c>
      <c r="P62" s="44">
        <f t="shared" si="24"/>
        <v>2.5974698106794119</v>
      </c>
      <c r="Q62" s="45">
        <f t="shared" si="25"/>
        <v>0.25</v>
      </c>
      <c r="R62" s="52">
        <v>4</v>
      </c>
      <c r="S62" s="53">
        <v>0.71072302281597644</v>
      </c>
      <c r="T62" s="53">
        <v>3.3566940013967228</v>
      </c>
      <c r="U62" s="53">
        <v>9.487729036988851</v>
      </c>
      <c r="V62" s="53">
        <f t="shared" si="26"/>
        <v>0.21173303927025938</v>
      </c>
      <c r="W62" s="52">
        <f t="shared" si="27"/>
        <v>5</v>
      </c>
      <c r="X62" s="53">
        <v>1.1454762275641139</v>
      </c>
      <c r="Y62" s="53">
        <v>4.3514602221082166</v>
      </c>
      <c r="Z62" s="53">
        <v>11.070497754622684</v>
      </c>
      <c r="AA62" s="53">
        <f t="shared" si="28"/>
        <v>0.26323950331531426</v>
      </c>
      <c r="AB62" s="53">
        <f t="shared" si="29"/>
        <v>4.7429545288969344</v>
      </c>
      <c r="AC62" s="53">
        <f t="shared" si="30"/>
        <v>1.0337248852360612</v>
      </c>
      <c r="AD62" s="53">
        <f t="shared" si="31"/>
        <v>4.0957600702680139</v>
      </c>
      <c r="AE62" s="54">
        <f t="shared" si="32"/>
        <v>10.663654223951299</v>
      </c>
    </row>
    <row r="63" spans="2:31" x14ac:dyDescent="0.3">
      <c r="B63" s="49">
        <f t="shared" si="15"/>
        <v>52</v>
      </c>
      <c r="C63" s="59" t="s">
        <v>365</v>
      </c>
      <c r="D63" s="112" t="s">
        <v>49</v>
      </c>
      <c r="E63" s="60" t="s">
        <v>362</v>
      </c>
      <c r="F63" s="39">
        <v>1</v>
      </c>
      <c r="G63" s="40">
        <v>5.3</v>
      </c>
      <c r="H63" s="40">
        <v>6</v>
      </c>
      <c r="I63" s="120">
        <f t="shared" si="17"/>
        <v>1.8170973966824597</v>
      </c>
      <c r="J63" s="42">
        <f t="shared" si="18"/>
        <v>0.34284856541178488</v>
      </c>
      <c r="K63" s="41">
        <f t="shared" si="19"/>
        <v>2.9167396363433249</v>
      </c>
      <c r="L63" s="43">
        <f t="shared" si="20"/>
        <v>0.84504372230143843</v>
      </c>
      <c r="M63" s="43">
        <f t="shared" si="21"/>
        <v>5.3</v>
      </c>
      <c r="N63" s="43">
        <f t="shared" si="22"/>
        <v>4.3667725774667909</v>
      </c>
      <c r="O63" s="43">
        <f t="shared" si="23"/>
        <v>12.944106168190759</v>
      </c>
      <c r="P63" s="44">
        <f t="shared" si="24"/>
        <v>3.9317578858087918</v>
      </c>
      <c r="Q63" s="45">
        <f t="shared" si="25"/>
        <v>0.18867924528301888</v>
      </c>
      <c r="R63" s="52">
        <v>3</v>
      </c>
      <c r="S63" s="53">
        <v>0.35184631840544622</v>
      </c>
      <c r="T63" s="53">
        <v>2.3659738927290714</v>
      </c>
      <c r="U63" s="53">
        <v>7.81472776394987</v>
      </c>
      <c r="V63" s="53">
        <f t="shared" si="26"/>
        <v>0.14871098936751298</v>
      </c>
      <c r="W63" s="52">
        <f t="shared" si="27"/>
        <v>4</v>
      </c>
      <c r="X63" s="53">
        <v>0.71072302281597644</v>
      </c>
      <c r="Y63" s="53">
        <v>3.3566940013967228</v>
      </c>
      <c r="Z63" s="53">
        <v>9.487729036988851</v>
      </c>
      <c r="AA63" s="53">
        <f t="shared" si="28"/>
        <v>0.21173303927025938</v>
      </c>
      <c r="AB63" s="53">
        <f t="shared" si="29"/>
        <v>3.6341947933649195</v>
      </c>
      <c r="AC63" s="53">
        <f t="shared" si="30"/>
        <v>0.57944405580256575</v>
      </c>
      <c r="AD63" s="53">
        <f t="shared" si="31"/>
        <v>2.994283427328023</v>
      </c>
      <c r="AE63" s="54">
        <f t="shared" si="32"/>
        <v>8.8757364606040738</v>
      </c>
    </row>
    <row r="64" spans="2:31" x14ac:dyDescent="0.3">
      <c r="B64" s="49">
        <f t="shared" si="15"/>
        <v>53</v>
      </c>
      <c r="C64" s="59" t="s">
        <v>365</v>
      </c>
      <c r="D64" s="112" t="s">
        <v>51</v>
      </c>
      <c r="E64" s="109"/>
      <c r="F64" s="39">
        <v>0.5</v>
      </c>
      <c r="G64" s="40">
        <v>5</v>
      </c>
      <c r="H64" s="40">
        <v>85</v>
      </c>
      <c r="I64" s="120"/>
      <c r="J64" s="42"/>
      <c r="K64" s="41"/>
      <c r="L64" s="43"/>
      <c r="M64" s="43"/>
      <c r="N64" s="43"/>
      <c r="O64" s="43"/>
      <c r="P64" s="44"/>
      <c r="Q64" s="45">
        <f t="shared" si="25"/>
        <v>0.1</v>
      </c>
      <c r="R64" s="52"/>
      <c r="S64" s="53"/>
      <c r="T64" s="53"/>
      <c r="U64" s="53"/>
      <c r="V64" s="53"/>
      <c r="W64" s="52"/>
      <c r="X64" s="53"/>
      <c r="Y64" s="53"/>
      <c r="Z64" s="53"/>
      <c r="AA64" s="53"/>
      <c r="AB64" s="53"/>
      <c r="AC64" s="53"/>
      <c r="AD64" s="53"/>
      <c r="AE64" s="54"/>
    </row>
    <row r="65" spans="2:31" ht="15" customHeight="1" x14ac:dyDescent="0.3">
      <c r="B65" s="49">
        <f t="shared" si="15"/>
        <v>54</v>
      </c>
      <c r="C65" s="59" t="s">
        <v>365</v>
      </c>
      <c r="D65" s="112" t="s">
        <v>52</v>
      </c>
      <c r="E65" s="60" t="s">
        <v>187</v>
      </c>
      <c r="F65" s="39">
        <v>1</v>
      </c>
      <c r="G65" s="40">
        <v>3.1</v>
      </c>
      <c r="H65" s="40">
        <v>6</v>
      </c>
      <c r="I65" s="120">
        <f>AB65/2</f>
        <v>3.2348589594942467</v>
      </c>
      <c r="J65" s="42">
        <f>I65/G65</f>
        <v>1.0435028901594343</v>
      </c>
      <c r="K65" s="41">
        <f>1/J65</f>
        <v>0.9583107142589824</v>
      </c>
      <c r="L65" s="43">
        <f>1/2/J65*AC65</f>
        <v>0.9033311533281102</v>
      </c>
      <c r="M65" s="43">
        <f>I65/J65</f>
        <v>3.1000000000000005</v>
      </c>
      <c r="N65" s="43">
        <f>1/2/J65*AD65</f>
        <v>2.7871288222681176</v>
      </c>
      <c r="O65" s="43">
        <f>1/2/J65*AE65</f>
        <v>6.365426077212649</v>
      </c>
      <c r="P65" s="44">
        <f>SQRT(M65/J65)</f>
        <v>1.7235902106367529</v>
      </c>
      <c r="Q65" s="45">
        <f t="shared" si="25"/>
        <v>0.32258064516129031</v>
      </c>
      <c r="R65" s="52">
        <v>6</v>
      </c>
      <c r="S65" s="53">
        <v>1.6353828954369192</v>
      </c>
      <c r="T65" s="53">
        <v>5.3481208434097312</v>
      </c>
      <c r="U65" s="53">
        <v>12.591587244072656</v>
      </c>
      <c r="V65" s="53">
        <f>S65/T65</f>
        <v>0.30578645160049706</v>
      </c>
      <c r="W65" s="52">
        <f>R65+1</f>
        <v>7</v>
      </c>
      <c r="X65" s="53">
        <v>2.1673499186219098</v>
      </c>
      <c r="Y65" s="53">
        <v>6.3458113725816272</v>
      </c>
      <c r="Z65" s="53">
        <v>14.067140433005996</v>
      </c>
      <c r="AA65" s="53">
        <f>X65/Y65</f>
        <v>0.34154023675938233</v>
      </c>
      <c r="AB65" s="53">
        <f>(Q65-V65)/(AA65-V65)*(W65-R65)+R65</f>
        <v>6.4697179189884935</v>
      </c>
      <c r="AC65" s="53">
        <f>(Q65-V65)/(AA65-V65)*(X65-S65)+S65</f>
        <v>1.8852573385378764</v>
      </c>
      <c r="AD65" s="53">
        <f>(Q65-V65)/(AA65-V65)*(Y65-T65)+T65</f>
        <v>5.8167539625668825</v>
      </c>
      <c r="AE65" s="54">
        <f>(Q65-V65)/(AA65-V65)*(Z65-U65)+U65</f>
        <v>13.284681017335259</v>
      </c>
    </row>
    <row r="66" spans="2:31" x14ac:dyDescent="0.3">
      <c r="B66" s="49">
        <f t="shared" si="15"/>
        <v>55</v>
      </c>
      <c r="C66" s="62" t="s">
        <v>365</v>
      </c>
      <c r="D66" s="112" t="s">
        <v>54</v>
      </c>
      <c r="E66" s="60" t="s">
        <v>362</v>
      </c>
      <c r="F66" s="39">
        <v>1</v>
      </c>
      <c r="G66" s="40">
        <v>5.3</v>
      </c>
      <c r="H66" s="40">
        <v>6</v>
      </c>
      <c r="I66" s="120">
        <f>AB66/2</f>
        <v>1.8170973966824597</v>
      </c>
      <c r="J66" s="42">
        <f>I66/G66</f>
        <v>0.34284856541178488</v>
      </c>
      <c r="K66" s="41">
        <f>1/J66</f>
        <v>2.9167396363433249</v>
      </c>
      <c r="L66" s="43">
        <f>1/2/J66*AC66</f>
        <v>0.84504372230143843</v>
      </c>
      <c r="M66" s="43">
        <f>I66/J66</f>
        <v>5.3</v>
      </c>
      <c r="N66" s="43">
        <f>1/2/J66*AD66</f>
        <v>4.3667725774667909</v>
      </c>
      <c r="O66" s="43">
        <f>1/2/J66*AE66</f>
        <v>12.944106168190759</v>
      </c>
      <c r="P66" s="44">
        <f>SQRT(M66/J66)</f>
        <v>3.9317578858087918</v>
      </c>
      <c r="Q66" s="45">
        <f t="shared" si="25"/>
        <v>0.18867924528301888</v>
      </c>
      <c r="R66" s="52">
        <v>3</v>
      </c>
      <c r="S66" s="53">
        <v>0.35184631840544622</v>
      </c>
      <c r="T66" s="53">
        <v>2.3659738927290714</v>
      </c>
      <c r="U66" s="53">
        <v>7.81472776394987</v>
      </c>
      <c r="V66" s="53">
        <f>S66/T66</f>
        <v>0.14871098936751298</v>
      </c>
      <c r="W66" s="52">
        <f>R66+1</f>
        <v>4</v>
      </c>
      <c r="X66" s="53">
        <v>0.71072302281597644</v>
      </c>
      <c r="Y66" s="53">
        <v>3.3566940013967228</v>
      </c>
      <c r="Z66" s="53">
        <v>9.487729036988851</v>
      </c>
      <c r="AA66" s="53">
        <f>X66/Y66</f>
        <v>0.21173303927025938</v>
      </c>
      <c r="AB66" s="53">
        <f>(Q66-V66)/(AA66-V66)*(W66-R66)+R66</f>
        <v>3.6341947933649195</v>
      </c>
      <c r="AC66" s="53">
        <f>(Q66-V66)/(AA66-V66)*(X66-S66)+S66</f>
        <v>0.57944405580256575</v>
      </c>
      <c r="AD66" s="53">
        <f>(Q66-V66)/(AA66-V66)*(Y66-T66)+T66</f>
        <v>2.994283427328023</v>
      </c>
      <c r="AE66" s="54">
        <f>(Q66-V66)/(AA66-V66)*(Z66-U66)+U66</f>
        <v>8.8757364606040738</v>
      </c>
    </row>
    <row r="67" spans="2:31" x14ac:dyDescent="0.3">
      <c r="B67" s="49">
        <f t="shared" si="15"/>
        <v>56</v>
      </c>
      <c r="C67" s="59" t="s">
        <v>368</v>
      </c>
      <c r="D67" s="112" t="s">
        <v>53</v>
      </c>
      <c r="E67" s="60" t="s">
        <v>362</v>
      </c>
      <c r="F67" s="39">
        <v>1</v>
      </c>
      <c r="G67" s="40">
        <v>5.3</v>
      </c>
      <c r="H67" s="40">
        <v>6</v>
      </c>
      <c r="I67" s="120">
        <f>AB67/2</f>
        <v>1.8170973966824597</v>
      </c>
      <c r="J67" s="42">
        <f>I67/G67</f>
        <v>0.34284856541178488</v>
      </c>
      <c r="K67" s="41">
        <f>1/J67</f>
        <v>2.9167396363433249</v>
      </c>
      <c r="L67" s="43">
        <f>1/2/J67*AC67</f>
        <v>0.84504372230143843</v>
      </c>
      <c r="M67" s="43">
        <f>I67/J67</f>
        <v>5.3</v>
      </c>
      <c r="N67" s="43">
        <f>1/2/J67*AD67</f>
        <v>4.3667725774667909</v>
      </c>
      <c r="O67" s="43">
        <f>1/2/J67*AE67</f>
        <v>12.944106168190759</v>
      </c>
      <c r="P67" s="44">
        <f>SQRT(M67/J67)</f>
        <v>3.9317578858087918</v>
      </c>
      <c r="Q67" s="45">
        <f t="shared" si="25"/>
        <v>0.18867924528301888</v>
      </c>
      <c r="R67" s="52">
        <v>3</v>
      </c>
      <c r="S67" s="53">
        <v>0.35184631840544622</v>
      </c>
      <c r="T67" s="53">
        <v>2.3659738927290714</v>
      </c>
      <c r="U67" s="53">
        <v>7.81472776394987</v>
      </c>
      <c r="V67" s="53">
        <f>S67/T67</f>
        <v>0.14871098936751298</v>
      </c>
      <c r="W67" s="52">
        <f>R67+1</f>
        <v>4</v>
      </c>
      <c r="X67" s="53">
        <v>0.71072302281597644</v>
      </c>
      <c r="Y67" s="53">
        <v>3.3566940013967228</v>
      </c>
      <c r="Z67" s="53">
        <v>9.487729036988851</v>
      </c>
      <c r="AA67" s="53">
        <f>X67/Y67</f>
        <v>0.21173303927025938</v>
      </c>
      <c r="AB67" s="53">
        <f>(Q67-V67)/(AA67-V67)*(W67-R67)+R67</f>
        <v>3.6341947933649195</v>
      </c>
      <c r="AC67" s="53">
        <f>(Q67-V67)/(AA67-V67)*(X67-S67)+S67</f>
        <v>0.57944405580256575</v>
      </c>
      <c r="AD67" s="53">
        <f>(Q67-V67)/(AA67-V67)*(Y67-T67)+T67</f>
        <v>2.994283427328023</v>
      </c>
      <c r="AE67" s="54">
        <f>(Q67-V67)/(AA67-V67)*(Z67-U67)+U67</f>
        <v>8.8757364606040738</v>
      </c>
    </row>
    <row r="68" spans="2:31" x14ac:dyDescent="0.3">
      <c r="B68" s="49">
        <f t="shared" si="15"/>
        <v>57</v>
      </c>
      <c r="C68" s="59" t="s">
        <v>365</v>
      </c>
      <c r="D68" s="112" t="s">
        <v>50</v>
      </c>
      <c r="E68" s="60" t="s">
        <v>362</v>
      </c>
      <c r="F68" s="39">
        <v>1</v>
      </c>
      <c r="G68" s="40">
        <v>5.3</v>
      </c>
      <c r="H68" s="40">
        <v>6</v>
      </c>
      <c r="I68" s="120">
        <f>AB68/2</f>
        <v>1.8170973966824597</v>
      </c>
      <c r="J68" s="42">
        <f>I68/G68</f>
        <v>0.34284856541178488</v>
      </c>
      <c r="K68" s="41">
        <f>1/J68</f>
        <v>2.9167396363433249</v>
      </c>
      <c r="L68" s="43">
        <f>1/2/J68*AC68</f>
        <v>0.84504372230143843</v>
      </c>
      <c r="M68" s="43">
        <f>I68/J68</f>
        <v>5.3</v>
      </c>
      <c r="N68" s="43">
        <f>1/2/J68*AD68</f>
        <v>4.3667725774667909</v>
      </c>
      <c r="O68" s="43">
        <f>1/2/J68*AE68</f>
        <v>12.944106168190759</v>
      </c>
      <c r="P68" s="44">
        <f>SQRT(M68/J68)</f>
        <v>3.9317578858087918</v>
      </c>
      <c r="Q68" s="45">
        <f t="shared" si="25"/>
        <v>0.18867924528301888</v>
      </c>
      <c r="R68" s="52">
        <v>3</v>
      </c>
      <c r="S68" s="53">
        <v>0.35184631840544622</v>
      </c>
      <c r="T68" s="53">
        <v>2.3659738927290714</v>
      </c>
      <c r="U68" s="53">
        <v>7.81472776394987</v>
      </c>
      <c r="V68" s="53">
        <f>S68/T68</f>
        <v>0.14871098936751298</v>
      </c>
      <c r="W68" s="52">
        <f>R68+1</f>
        <v>4</v>
      </c>
      <c r="X68" s="53">
        <v>0.71072302281597644</v>
      </c>
      <c r="Y68" s="53">
        <v>3.3566940013967228</v>
      </c>
      <c r="Z68" s="53">
        <v>9.487729036988851</v>
      </c>
      <c r="AA68" s="53">
        <f>X68/Y68</f>
        <v>0.21173303927025938</v>
      </c>
      <c r="AB68" s="53">
        <f>(Q68-V68)/(AA68-V68)*(W68-R68)+R68</f>
        <v>3.6341947933649195</v>
      </c>
      <c r="AC68" s="53">
        <f>(Q68-V68)/(AA68-V68)*(X68-S68)+S68</f>
        <v>0.57944405580256575</v>
      </c>
      <c r="AD68" s="53">
        <f>(Q68-V68)/(AA68-V68)*(Y68-T68)+T68</f>
        <v>2.994283427328023</v>
      </c>
      <c r="AE68" s="54">
        <f>(Q68-V68)/(AA68-V68)*(Z68-U68)+U68</f>
        <v>8.8757364606040738</v>
      </c>
    </row>
    <row r="69" spans="2:31" ht="15" customHeight="1" x14ac:dyDescent="0.3">
      <c r="B69" s="49">
        <f t="shared" si="15"/>
        <v>58</v>
      </c>
      <c r="C69" s="62" t="s">
        <v>369</v>
      </c>
      <c r="D69" s="112" t="s">
        <v>42</v>
      </c>
      <c r="E69" s="60" t="s">
        <v>190</v>
      </c>
      <c r="F69" s="39">
        <v>0.5</v>
      </c>
      <c r="G69" s="61">
        <v>10</v>
      </c>
      <c r="H69" s="61">
        <v>407</v>
      </c>
      <c r="I69" s="120">
        <f t="shared" si="0"/>
        <v>0.81638946157786041</v>
      </c>
      <c r="J69" s="42">
        <f t="shared" si="1"/>
        <v>8.1638946157786038E-2</v>
      </c>
      <c r="K69" s="41">
        <f t="shared" si="2"/>
        <v>12.249055714992572</v>
      </c>
      <c r="L69" s="43">
        <f t="shared" si="3"/>
        <v>0.40641506911322406</v>
      </c>
      <c r="M69" s="43">
        <f t="shared" si="4"/>
        <v>10</v>
      </c>
      <c r="N69" s="43">
        <f t="shared" si="5"/>
        <v>6.3957226025584655</v>
      </c>
      <c r="O69" s="43">
        <f t="shared" si="6"/>
        <v>31.859409599509394</v>
      </c>
      <c r="P69" s="44">
        <f t="shared" si="7"/>
        <v>11.067545217884845</v>
      </c>
      <c r="Q69" s="45">
        <f t="shared" si="16"/>
        <v>0.05</v>
      </c>
      <c r="R69" s="52">
        <f t="shared" ref="R69:R74" si="33">VLOOKUP(Q69,Upper_Chi_Square,2,1)</f>
        <v>1</v>
      </c>
      <c r="S69" s="53">
        <f t="shared" ref="S69:S74" si="34">VLOOKUP(Q69,Upper_Chi_Square,3,1)</f>
        <v>3.9321400005324098E-3</v>
      </c>
      <c r="T69" s="53">
        <f t="shared" ref="T69:T74" si="35">VLOOKUP(Q69,Upper_Chi_Square,4,1)</f>
        <v>0.4549364250484666</v>
      </c>
      <c r="U69" s="53">
        <f t="shared" ref="U69:U74" si="36">VLOOKUP(Q69,Upper_Chi_Square,5,1)</f>
        <v>3.841459149489757</v>
      </c>
      <c r="V69" s="53">
        <f t="shared" si="8"/>
        <v>8.6432736180961992E-3</v>
      </c>
      <c r="W69" s="52">
        <f t="shared" si="9"/>
        <v>2</v>
      </c>
      <c r="X69" s="53">
        <f t="shared" ref="X69:X74" si="37">VLOOKUP(W69,Upper_Chi_Reducida,2,0)</f>
        <v>0.10258658882167279</v>
      </c>
      <c r="Y69" s="53">
        <f t="shared" ref="Y69:Y74" si="38">VLOOKUP(W69,Upper_Chi_Reducida,3,0)</f>
        <v>1.3862943760896287</v>
      </c>
      <c r="Z69" s="53">
        <f t="shared" ref="Z69:Z74" si="39">VLOOKUP(W69,Upper_Chi_Reducida,4,0)</f>
        <v>5.9914645471914136</v>
      </c>
      <c r="AA69" s="53">
        <f t="shared" si="10"/>
        <v>7.4000580678284605E-2</v>
      </c>
      <c r="AB69" s="53">
        <f t="shared" si="11"/>
        <v>1.6327789231557208</v>
      </c>
      <c r="AC69" s="53">
        <f t="shared" si="12"/>
        <v>6.6358595890094782E-2</v>
      </c>
      <c r="AD69" s="53">
        <f t="shared" si="13"/>
        <v>1.0442801063808116</v>
      </c>
      <c r="AE69" s="54">
        <f t="shared" si="14"/>
        <v>5.2019372498263987</v>
      </c>
    </row>
    <row r="70" spans="2:31" x14ac:dyDescent="0.3">
      <c r="B70" s="49">
        <f t="shared" si="15"/>
        <v>59</v>
      </c>
      <c r="C70" s="62" t="s">
        <v>369</v>
      </c>
      <c r="D70" s="112" t="s">
        <v>55</v>
      </c>
      <c r="E70" s="60" t="s">
        <v>362</v>
      </c>
      <c r="F70" s="39">
        <v>1</v>
      </c>
      <c r="G70" s="40">
        <v>5.3</v>
      </c>
      <c r="H70" s="40">
        <v>6</v>
      </c>
      <c r="I70" s="120">
        <f t="shared" si="0"/>
        <v>1.8170973966824597</v>
      </c>
      <c r="J70" s="42">
        <f t="shared" si="1"/>
        <v>0.34284856541178488</v>
      </c>
      <c r="K70" s="41">
        <f t="shared" si="2"/>
        <v>2.9167396363433249</v>
      </c>
      <c r="L70" s="43">
        <f t="shared" si="3"/>
        <v>0.84504372230143843</v>
      </c>
      <c r="M70" s="43">
        <f t="shared" si="4"/>
        <v>5.3</v>
      </c>
      <c r="N70" s="43">
        <f t="shared" si="5"/>
        <v>4.3667725774667909</v>
      </c>
      <c r="O70" s="43">
        <f t="shared" si="6"/>
        <v>12.944106168190759</v>
      </c>
      <c r="P70" s="44">
        <f t="shared" si="7"/>
        <v>3.9317578858087918</v>
      </c>
      <c r="Q70" s="45">
        <f t="shared" si="16"/>
        <v>0.18867924528301888</v>
      </c>
      <c r="R70" s="52">
        <f t="shared" si="33"/>
        <v>3</v>
      </c>
      <c r="S70" s="53">
        <f t="shared" si="34"/>
        <v>0.35184631840544622</v>
      </c>
      <c r="T70" s="53">
        <f t="shared" si="35"/>
        <v>2.3659738927290714</v>
      </c>
      <c r="U70" s="53">
        <f t="shared" si="36"/>
        <v>7.81472776394987</v>
      </c>
      <c r="V70" s="53">
        <f t="shared" si="8"/>
        <v>0.14871098936751298</v>
      </c>
      <c r="W70" s="52">
        <f t="shared" si="9"/>
        <v>4</v>
      </c>
      <c r="X70" s="53">
        <f t="shared" si="37"/>
        <v>0.71072302281597644</v>
      </c>
      <c r="Y70" s="53">
        <f t="shared" si="38"/>
        <v>3.3566940013967228</v>
      </c>
      <c r="Z70" s="53">
        <f t="shared" si="39"/>
        <v>9.487729036988851</v>
      </c>
      <c r="AA70" s="53">
        <f t="shared" si="10"/>
        <v>0.21173303927025938</v>
      </c>
      <c r="AB70" s="53">
        <f t="shared" si="11"/>
        <v>3.6341947933649195</v>
      </c>
      <c r="AC70" s="53">
        <f t="shared" si="12"/>
        <v>0.57944405580256575</v>
      </c>
      <c r="AD70" s="53">
        <f t="shared" si="13"/>
        <v>2.994283427328023</v>
      </c>
      <c r="AE70" s="54">
        <f t="shared" si="14"/>
        <v>8.8757364606040738</v>
      </c>
    </row>
    <row r="71" spans="2:31" x14ac:dyDescent="0.3">
      <c r="B71" s="49">
        <f t="shared" si="15"/>
        <v>60</v>
      </c>
      <c r="C71" s="62" t="s">
        <v>369</v>
      </c>
      <c r="D71" s="112" t="s">
        <v>56</v>
      </c>
      <c r="E71" s="60" t="s">
        <v>362</v>
      </c>
      <c r="F71" s="39">
        <v>1</v>
      </c>
      <c r="G71" s="40">
        <v>5.3</v>
      </c>
      <c r="H71" s="40">
        <v>6</v>
      </c>
      <c r="I71" s="120">
        <f t="shared" si="0"/>
        <v>1.8170973966824597</v>
      </c>
      <c r="J71" s="42">
        <f t="shared" si="1"/>
        <v>0.34284856541178488</v>
      </c>
      <c r="K71" s="41">
        <f t="shared" si="2"/>
        <v>2.9167396363433249</v>
      </c>
      <c r="L71" s="43">
        <f t="shared" si="3"/>
        <v>0.84504372230143843</v>
      </c>
      <c r="M71" s="43">
        <f t="shared" si="4"/>
        <v>5.3</v>
      </c>
      <c r="N71" s="43">
        <f t="shared" si="5"/>
        <v>4.3667725774667909</v>
      </c>
      <c r="O71" s="43">
        <f t="shared" si="6"/>
        <v>12.944106168190759</v>
      </c>
      <c r="P71" s="44">
        <f t="shared" si="7"/>
        <v>3.9317578858087918</v>
      </c>
      <c r="Q71" s="45">
        <f t="shared" si="16"/>
        <v>0.18867924528301888</v>
      </c>
      <c r="R71" s="52">
        <f t="shared" si="33"/>
        <v>3</v>
      </c>
      <c r="S71" s="53">
        <f t="shared" si="34"/>
        <v>0.35184631840544622</v>
      </c>
      <c r="T71" s="53">
        <f t="shared" si="35"/>
        <v>2.3659738927290714</v>
      </c>
      <c r="U71" s="53">
        <f t="shared" si="36"/>
        <v>7.81472776394987</v>
      </c>
      <c r="V71" s="53">
        <f t="shared" si="8"/>
        <v>0.14871098936751298</v>
      </c>
      <c r="W71" s="52">
        <f t="shared" si="9"/>
        <v>4</v>
      </c>
      <c r="X71" s="53">
        <f t="shared" si="37"/>
        <v>0.71072302281597644</v>
      </c>
      <c r="Y71" s="53">
        <f t="shared" si="38"/>
        <v>3.3566940013967228</v>
      </c>
      <c r="Z71" s="53">
        <f t="shared" si="39"/>
        <v>9.487729036988851</v>
      </c>
      <c r="AA71" s="53">
        <f t="shared" si="10"/>
        <v>0.21173303927025938</v>
      </c>
      <c r="AB71" s="53">
        <f t="shared" si="11"/>
        <v>3.6341947933649195</v>
      </c>
      <c r="AC71" s="53">
        <f t="shared" si="12"/>
        <v>0.57944405580256575</v>
      </c>
      <c r="AD71" s="53">
        <f t="shared" si="13"/>
        <v>2.994283427328023</v>
      </c>
      <c r="AE71" s="54">
        <f t="shared" si="14"/>
        <v>8.8757364606040738</v>
      </c>
    </row>
    <row r="72" spans="2:31" ht="15" customHeight="1" x14ac:dyDescent="0.3">
      <c r="B72" s="49">
        <f t="shared" si="15"/>
        <v>61</v>
      </c>
      <c r="C72" s="62" t="s">
        <v>369</v>
      </c>
      <c r="D72" s="112" t="s">
        <v>57</v>
      </c>
      <c r="E72" s="60" t="s">
        <v>370</v>
      </c>
      <c r="F72" s="39">
        <v>4</v>
      </c>
      <c r="G72" s="61">
        <v>5.5</v>
      </c>
      <c r="H72" s="61">
        <v>147</v>
      </c>
      <c r="I72" s="120">
        <f t="shared" si="0"/>
        <v>29.855645711182429</v>
      </c>
      <c r="J72" s="42">
        <f t="shared" si="1"/>
        <v>5.4282992202149876</v>
      </c>
      <c r="K72" s="41">
        <f t="shared" si="2"/>
        <v>0.18421976376615345</v>
      </c>
      <c r="L72" s="43">
        <f t="shared" si="3"/>
        <v>3.955469720404317</v>
      </c>
      <c r="M72" s="43">
        <f t="shared" si="4"/>
        <v>5.5</v>
      </c>
      <c r="N72" s="43">
        <f t="shared" si="5"/>
        <v>5.4387170090266608</v>
      </c>
      <c r="O72" s="43">
        <f t="shared" si="6"/>
        <v>7.2536089273079352</v>
      </c>
      <c r="P72" s="44">
        <f t="shared" si="7"/>
        <v>1.0065826844893786</v>
      </c>
      <c r="Q72" s="45">
        <f t="shared" si="16"/>
        <v>0.72727272727272729</v>
      </c>
      <c r="R72" s="52">
        <f t="shared" si="33"/>
        <v>59</v>
      </c>
      <c r="S72" s="53">
        <f t="shared" si="34"/>
        <v>42.339308331014635</v>
      </c>
      <c r="T72" s="53">
        <f t="shared" si="35"/>
        <v>58.334692481361003</v>
      </c>
      <c r="U72" s="53">
        <f t="shared" si="36"/>
        <v>77.930523719887915</v>
      </c>
      <c r="V72" s="53">
        <f t="shared" si="8"/>
        <v>0.72579980334245897</v>
      </c>
      <c r="W72" s="52">
        <f t="shared" si="9"/>
        <v>60</v>
      </c>
      <c r="X72" s="53">
        <f t="shared" si="37"/>
        <v>43.187959176104158</v>
      </c>
      <c r="Y72" s="53">
        <f t="shared" si="38"/>
        <v>59.334668151548357</v>
      </c>
      <c r="Z72" s="53">
        <f t="shared" si="39"/>
        <v>79.081944392288847</v>
      </c>
      <c r="AA72" s="53">
        <f t="shared" si="10"/>
        <v>0.72787057754829887</v>
      </c>
      <c r="AB72" s="53">
        <f t="shared" si="11"/>
        <v>59.711291422364859</v>
      </c>
      <c r="AC72" s="53">
        <f t="shared" si="12"/>
        <v>42.942946397709498</v>
      </c>
      <c r="AD72" s="53">
        <f t="shared" si="13"/>
        <v>59.045966598138818</v>
      </c>
      <c r="AE72" s="54">
        <f t="shared" si="14"/>
        <v>78.749519367700273</v>
      </c>
    </row>
    <row r="73" spans="2:31" ht="15" customHeight="1" x14ac:dyDescent="0.3">
      <c r="B73" s="49">
        <f t="shared" si="15"/>
        <v>62</v>
      </c>
      <c r="C73" s="62" t="s">
        <v>369</v>
      </c>
      <c r="D73" s="112" t="s">
        <v>58</v>
      </c>
      <c r="E73" s="60" t="s">
        <v>187</v>
      </c>
      <c r="F73" s="39">
        <v>1</v>
      </c>
      <c r="G73" s="40">
        <v>3.1</v>
      </c>
      <c r="H73" s="40">
        <v>6</v>
      </c>
      <c r="I73" s="120">
        <f t="shared" si="0"/>
        <v>3.2348589594942467</v>
      </c>
      <c r="J73" s="42">
        <f t="shared" si="1"/>
        <v>1.0435028901594343</v>
      </c>
      <c r="K73" s="41">
        <f t="shared" si="2"/>
        <v>0.9583107142589824</v>
      </c>
      <c r="L73" s="43">
        <f t="shared" si="3"/>
        <v>0.9033311533281102</v>
      </c>
      <c r="M73" s="43">
        <f t="shared" si="4"/>
        <v>3.1000000000000005</v>
      </c>
      <c r="N73" s="43">
        <f t="shared" si="5"/>
        <v>2.7871288222681176</v>
      </c>
      <c r="O73" s="43">
        <f t="shared" si="6"/>
        <v>6.365426077212649</v>
      </c>
      <c r="P73" s="44">
        <f t="shared" si="7"/>
        <v>1.7235902106367529</v>
      </c>
      <c r="Q73" s="45">
        <f t="shared" si="16"/>
        <v>0.32258064516129031</v>
      </c>
      <c r="R73" s="52">
        <f t="shared" si="33"/>
        <v>6</v>
      </c>
      <c r="S73" s="53">
        <f t="shared" si="34"/>
        <v>1.6353828954369192</v>
      </c>
      <c r="T73" s="53">
        <f t="shared" si="35"/>
        <v>5.3481208434097312</v>
      </c>
      <c r="U73" s="53">
        <f t="shared" si="36"/>
        <v>12.591587244072656</v>
      </c>
      <c r="V73" s="53">
        <f t="shared" si="8"/>
        <v>0.30578645160049706</v>
      </c>
      <c r="W73" s="52">
        <f t="shared" si="9"/>
        <v>7</v>
      </c>
      <c r="X73" s="53">
        <f t="shared" si="37"/>
        <v>2.1673499186219098</v>
      </c>
      <c r="Y73" s="53">
        <f t="shared" si="38"/>
        <v>6.3458113725816272</v>
      </c>
      <c r="Z73" s="53">
        <f t="shared" si="39"/>
        <v>14.067140433005996</v>
      </c>
      <c r="AA73" s="53">
        <f t="shared" si="10"/>
        <v>0.34154023675938233</v>
      </c>
      <c r="AB73" s="53">
        <f t="shared" si="11"/>
        <v>6.4697179189884935</v>
      </c>
      <c r="AC73" s="53">
        <f t="shared" si="12"/>
        <v>1.8852573385378764</v>
      </c>
      <c r="AD73" s="53">
        <f t="shared" si="13"/>
        <v>5.8167539625668825</v>
      </c>
      <c r="AE73" s="54">
        <f t="shared" si="14"/>
        <v>13.284681017335259</v>
      </c>
    </row>
    <row r="74" spans="2:31" x14ac:dyDescent="0.3">
      <c r="B74" s="49">
        <f t="shared" si="15"/>
        <v>63</v>
      </c>
      <c r="C74" s="62" t="s">
        <v>369</v>
      </c>
      <c r="D74" s="112" t="s">
        <v>59</v>
      </c>
      <c r="E74" s="60" t="s">
        <v>362</v>
      </c>
      <c r="F74" s="39">
        <v>1</v>
      </c>
      <c r="G74" s="40">
        <v>5.3</v>
      </c>
      <c r="H74" s="40">
        <v>6</v>
      </c>
      <c r="I74" s="120">
        <f t="shared" si="0"/>
        <v>1.8170973966824597</v>
      </c>
      <c r="J74" s="42">
        <f t="shared" si="1"/>
        <v>0.34284856541178488</v>
      </c>
      <c r="K74" s="41">
        <f t="shared" si="2"/>
        <v>2.9167396363433249</v>
      </c>
      <c r="L74" s="43">
        <f t="shared" si="3"/>
        <v>0.84504372230143843</v>
      </c>
      <c r="M74" s="43">
        <f t="shared" si="4"/>
        <v>5.3</v>
      </c>
      <c r="N74" s="43">
        <f t="shared" si="5"/>
        <v>4.3667725774667909</v>
      </c>
      <c r="O74" s="43">
        <f t="shared" si="6"/>
        <v>12.944106168190759</v>
      </c>
      <c r="P74" s="44">
        <f t="shared" si="7"/>
        <v>3.9317578858087918</v>
      </c>
      <c r="Q74" s="45">
        <f t="shared" si="16"/>
        <v>0.18867924528301888</v>
      </c>
      <c r="R74" s="52">
        <f t="shared" si="33"/>
        <v>3</v>
      </c>
      <c r="S74" s="53">
        <f t="shared" si="34"/>
        <v>0.35184631840544622</v>
      </c>
      <c r="T74" s="53">
        <f t="shared" si="35"/>
        <v>2.3659738927290714</v>
      </c>
      <c r="U74" s="53">
        <f t="shared" si="36"/>
        <v>7.81472776394987</v>
      </c>
      <c r="V74" s="53">
        <f t="shared" si="8"/>
        <v>0.14871098936751298</v>
      </c>
      <c r="W74" s="52">
        <f t="shared" si="9"/>
        <v>4</v>
      </c>
      <c r="X74" s="53">
        <f t="shared" si="37"/>
        <v>0.71072302281597644</v>
      </c>
      <c r="Y74" s="53">
        <f t="shared" si="38"/>
        <v>3.3566940013967228</v>
      </c>
      <c r="Z74" s="53">
        <f t="shared" si="39"/>
        <v>9.487729036988851</v>
      </c>
      <c r="AA74" s="53">
        <f t="shared" si="10"/>
        <v>0.21173303927025938</v>
      </c>
      <c r="AB74" s="53">
        <f t="shared" si="11"/>
        <v>3.6341947933649195</v>
      </c>
      <c r="AC74" s="53">
        <f t="shared" si="12"/>
        <v>0.57944405580256575</v>
      </c>
      <c r="AD74" s="53">
        <f t="shared" si="13"/>
        <v>2.994283427328023</v>
      </c>
      <c r="AE74" s="54">
        <f t="shared" si="14"/>
        <v>8.8757364606040738</v>
      </c>
    </row>
    <row r="75" spans="2:31" x14ac:dyDescent="0.3">
      <c r="B75" s="49">
        <f t="shared" si="15"/>
        <v>64</v>
      </c>
      <c r="C75" s="62" t="s">
        <v>369</v>
      </c>
      <c r="D75" s="112" t="s">
        <v>60</v>
      </c>
      <c r="E75" s="60" t="s">
        <v>362</v>
      </c>
      <c r="F75" s="39">
        <v>1</v>
      </c>
      <c r="G75" s="40">
        <v>5.3</v>
      </c>
      <c r="H75" s="40">
        <v>6</v>
      </c>
      <c r="I75" s="120">
        <f t="shared" si="0"/>
        <v>1.8170973966824597</v>
      </c>
      <c r="J75" s="42">
        <f t="shared" si="1"/>
        <v>0.34284856541178488</v>
      </c>
      <c r="K75" s="41">
        <f t="shared" si="2"/>
        <v>2.9167396363433249</v>
      </c>
      <c r="L75" s="43">
        <f t="shared" si="3"/>
        <v>0.84504372230143843</v>
      </c>
      <c r="M75" s="43">
        <f t="shared" si="4"/>
        <v>5.3</v>
      </c>
      <c r="N75" s="43">
        <f t="shared" si="5"/>
        <v>4.3667725774667909</v>
      </c>
      <c r="O75" s="43">
        <f t="shared" si="6"/>
        <v>12.944106168190759</v>
      </c>
      <c r="P75" s="44">
        <f t="shared" si="7"/>
        <v>3.9317578858087918</v>
      </c>
      <c r="Q75" s="45">
        <f t="shared" si="16"/>
        <v>0.18867924528301888</v>
      </c>
      <c r="R75" s="52">
        <v>3</v>
      </c>
      <c r="S75" s="53">
        <v>0.35184631840544622</v>
      </c>
      <c r="T75" s="53">
        <v>2.3659738927290714</v>
      </c>
      <c r="U75" s="53">
        <v>7.81472776394987</v>
      </c>
      <c r="V75" s="53">
        <f t="shared" si="8"/>
        <v>0.14871098936751298</v>
      </c>
      <c r="W75" s="52">
        <f t="shared" si="9"/>
        <v>4</v>
      </c>
      <c r="X75" s="53">
        <v>0.71072302281597644</v>
      </c>
      <c r="Y75" s="53">
        <v>3.3566940013967228</v>
      </c>
      <c r="Z75" s="53">
        <v>9.487729036988851</v>
      </c>
      <c r="AA75" s="53">
        <f t="shared" si="10"/>
        <v>0.21173303927025938</v>
      </c>
      <c r="AB75" s="53">
        <f t="shared" si="11"/>
        <v>3.6341947933649195</v>
      </c>
      <c r="AC75" s="53">
        <f t="shared" si="12"/>
        <v>0.57944405580256575</v>
      </c>
      <c r="AD75" s="53">
        <f t="shared" si="13"/>
        <v>2.994283427328023</v>
      </c>
      <c r="AE75" s="54">
        <f t="shared" si="14"/>
        <v>8.8757364606040738</v>
      </c>
    </row>
    <row r="76" spans="2:31" s="63" customFormat="1" x14ac:dyDescent="0.3">
      <c r="B76" s="49">
        <f t="shared" si="15"/>
        <v>65</v>
      </c>
      <c r="C76" s="62" t="s">
        <v>369</v>
      </c>
      <c r="D76" s="114" t="s">
        <v>61</v>
      </c>
      <c r="E76" s="60" t="s">
        <v>362</v>
      </c>
      <c r="F76" s="39">
        <v>1</v>
      </c>
      <c r="G76" s="40">
        <v>5.3</v>
      </c>
      <c r="H76" s="40">
        <v>6</v>
      </c>
      <c r="I76" s="120">
        <f t="shared" ref="I76:I139" si="40">AB76/2</f>
        <v>1.8170973966824597</v>
      </c>
      <c r="J76" s="42">
        <f t="shared" ref="J76:J139" si="41">I76/G76</f>
        <v>0.34284856541178488</v>
      </c>
      <c r="K76" s="41">
        <f t="shared" ref="K76:K139" si="42">1/J76</f>
        <v>2.9167396363433249</v>
      </c>
      <c r="L76" s="43">
        <f t="shared" ref="L76:L139" si="43">1/2/J76*AC76</f>
        <v>0.84504372230143843</v>
      </c>
      <c r="M76" s="43">
        <f t="shared" ref="M76:M139" si="44">I76/J76</f>
        <v>5.3</v>
      </c>
      <c r="N76" s="43">
        <f t="shared" ref="N76:N139" si="45">1/2/J76*AD76</f>
        <v>4.3667725774667909</v>
      </c>
      <c r="O76" s="43">
        <f t="shared" ref="O76:O139" si="46">1/2/J76*AE76</f>
        <v>12.944106168190759</v>
      </c>
      <c r="P76" s="44">
        <f t="shared" ref="P76:P139" si="47">SQRT(M76/J76)</f>
        <v>3.9317578858087918</v>
      </c>
      <c r="Q76" s="45">
        <f t="shared" si="16"/>
        <v>0.18867924528301888</v>
      </c>
      <c r="R76" s="52">
        <v>3</v>
      </c>
      <c r="S76" s="53">
        <v>0.35184631840544622</v>
      </c>
      <c r="T76" s="53">
        <v>2.3659738927290714</v>
      </c>
      <c r="U76" s="53">
        <v>7.81472776394987</v>
      </c>
      <c r="V76" s="53">
        <f t="shared" ref="V76:V139" si="48">S76/T76</f>
        <v>0.14871098936751298</v>
      </c>
      <c r="W76" s="52">
        <f t="shared" ref="W76:W139" si="49">R76+1</f>
        <v>4</v>
      </c>
      <c r="X76" s="53">
        <v>0.71072302281597644</v>
      </c>
      <c r="Y76" s="53">
        <v>3.3566940013967228</v>
      </c>
      <c r="Z76" s="53">
        <v>9.487729036988851</v>
      </c>
      <c r="AA76" s="53">
        <f t="shared" ref="AA76:AA139" si="50">X76/Y76</f>
        <v>0.21173303927025938</v>
      </c>
      <c r="AB76" s="53">
        <f t="shared" ref="AB76:AB139" si="51">(Q76-V76)/(AA76-V76)*(W76-R76)+R76</f>
        <v>3.6341947933649195</v>
      </c>
      <c r="AC76" s="53">
        <f t="shared" ref="AC76:AC139" si="52">(Q76-V76)/(AA76-V76)*(X76-S76)+S76</f>
        <v>0.57944405580256575</v>
      </c>
      <c r="AD76" s="53">
        <f t="shared" ref="AD76:AD139" si="53">(Q76-V76)/(AA76-V76)*(Y76-T76)+T76</f>
        <v>2.994283427328023</v>
      </c>
      <c r="AE76" s="54">
        <f t="shared" ref="AE76:AE139" si="54">(Q76-V76)/(AA76-V76)*(Z76-U76)+U76</f>
        <v>8.8757364606040738</v>
      </c>
    </row>
    <row r="77" spans="2:31" ht="15" customHeight="1" x14ac:dyDescent="0.3">
      <c r="B77" s="49">
        <f t="shared" si="15"/>
        <v>66</v>
      </c>
      <c r="C77" s="62" t="s">
        <v>369</v>
      </c>
      <c r="D77" s="112" t="s">
        <v>62</v>
      </c>
      <c r="E77" s="60" t="s">
        <v>371</v>
      </c>
      <c r="F77" s="39">
        <v>4</v>
      </c>
      <c r="G77" s="61">
        <v>5.5</v>
      </c>
      <c r="H77" s="61">
        <v>147</v>
      </c>
      <c r="I77" s="120">
        <f t="shared" si="40"/>
        <v>29.855645711182429</v>
      </c>
      <c r="J77" s="42">
        <f t="shared" si="41"/>
        <v>5.4282992202149876</v>
      </c>
      <c r="K77" s="41">
        <f t="shared" si="42"/>
        <v>0.18421976376615345</v>
      </c>
      <c r="L77" s="43">
        <f t="shared" si="43"/>
        <v>3.955469720404317</v>
      </c>
      <c r="M77" s="43">
        <f t="shared" si="44"/>
        <v>5.5</v>
      </c>
      <c r="N77" s="43">
        <f t="shared" si="45"/>
        <v>5.4387170090266608</v>
      </c>
      <c r="O77" s="43">
        <f t="shared" si="46"/>
        <v>7.2536089273079352</v>
      </c>
      <c r="P77" s="44">
        <f t="shared" si="47"/>
        <v>1.0065826844893786</v>
      </c>
      <c r="Q77" s="45">
        <f t="shared" ref="Q77:Q140" si="55">F77/G77</f>
        <v>0.72727272727272729</v>
      </c>
      <c r="R77" s="52">
        <v>59</v>
      </c>
      <c r="S77" s="53">
        <v>42.339308331014635</v>
      </c>
      <c r="T77" s="53">
        <v>58.334692481361003</v>
      </c>
      <c r="U77" s="53">
        <v>77.930523719887915</v>
      </c>
      <c r="V77" s="53">
        <f t="shared" si="48"/>
        <v>0.72579980334245897</v>
      </c>
      <c r="W77" s="52">
        <f t="shared" si="49"/>
        <v>60</v>
      </c>
      <c r="X77" s="53">
        <v>43.187959176104158</v>
      </c>
      <c r="Y77" s="53">
        <v>59.334668151548357</v>
      </c>
      <c r="Z77" s="53">
        <v>79.081944392288847</v>
      </c>
      <c r="AA77" s="53">
        <f t="shared" si="50"/>
        <v>0.72787057754829887</v>
      </c>
      <c r="AB77" s="53">
        <f t="shared" si="51"/>
        <v>59.711291422364859</v>
      </c>
      <c r="AC77" s="53">
        <f t="shared" si="52"/>
        <v>42.942946397709498</v>
      </c>
      <c r="AD77" s="53">
        <f t="shared" si="53"/>
        <v>59.045966598138818</v>
      </c>
      <c r="AE77" s="54">
        <f t="shared" si="54"/>
        <v>78.749519367700273</v>
      </c>
    </row>
    <row r="78" spans="2:31" ht="15" customHeight="1" x14ac:dyDescent="0.3">
      <c r="B78" s="49">
        <f t="shared" ref="B78:B141" si="56">1+B77</f>
        <v>67</v>
      </c>
      <c r="C78" s="62" t="s">
        <v>369</v>
      </c>
      <c r="D78" s="112" t="s">
        <v>63</v>
      </c>
      <c r="E78" s="60" t="s">
        <v>187</v>
      </c>
      <c r="F78" s="39">
        <v>1</v>
      </c>
      <c r="G78" s="40">
        <v>3.1</v>
      </c>
      <c r="H78" s="40">
        <v>6</v>
      </c>
      <c r="I78" s="120">
        <f t="shared" si="40"/>
        <v>3.2348589594942467</v>
      </c>
      <c r="J78" s="42">
        <f t="shared" si="41"/>
        <v>1.0435028901594343</v>
      </c>
      <c r="K78" s="41">
        <f t="shared" si="42"/>
        <v>0.9583107142589824</v>
      </c>
      <c r="L78" s="43">
        <f t="shared" si="43"/>
        <v>0.9033311533281102</v>
      </c>
      <c r="M78" s="43">
        <f t="shared" si="44"/>
        <v>3.1000000000000005</v>
      </c>
      <c r="N78" s="43">
        <f t="shared" si="45"/>
        <v>2.7871288222681176</v>
      </c>
      <c r="O78" s="43">
        <f t="shared" si="46"/>
        <v>6.365426077212649</v>
      </c>
      <c r="P78" s="44">
        <f t="shared" si="47"/>
        <v>1.7235902106367529</v>
      </c>
      <c r="Q78" s="45">
        <f t="shared" si="55"/>
        <v>0.32258064516129031</v>
      </c>
      <c r="R78" s="52">
        <v>6</v>
      </c>
      <c r="S78" s="53">
        <v>1.6353828954369192</v>
      </c>
      <c r="T78" s="53">
        <v>5.3481208434097312</v>
      </c>
      <c r="U78" s="53">
        <v>12.591587244072656</v>
      </c>
      <c r="V78" s="53">
        <f t="shared" si="48"/>
        <v>0.30578645160049706</v>
      </c>
      <c r="W78" s="52">
        <f t="shared" si="49"/>
        <v>7</v>
      </c>
      <c r="X78" s="53">
        <v>2.1673499186219098</v>
      </c>
      <c r="Y78" s="53">
        <v>6.3458113725816272</v>
      </c>
      <c r="Z78" s="53">
        <v>14.067140433005996</v>
      </c>
      <c r="AA78" s="53">
        <f t="shared" si="50"/>
        <v>0.34154023675938233</v>
      </c>
      <c r="AB78" s="53">
        <f t="shared" si="51"/>
        <v>6.4697179189884935</v>
      </c>
      <c r="AC78" s="53">
        <f t="shared" si="52"/>
        <v>1.8852573385378764</v>
      </c>
      <c r="AD78" s="53">
        <f t="shared" si="53"/>
        <v>5.8167539625668825</v>
      </c>
      <c r="AE78" s="54">
        <f t="shared" si="54"/>
        <v>13.284681017335259</v>
      </c>
    </row>
    <row r="79" spans="2:31" x14ac:dyDescent="0.3">
      <c r="B79" s="49">
        <f t="shared" si="56"/>
        <v>68</v>
      </c>
      <c r="C79" s="62" t="s">
        <v>369</v>
      </c>
      <c r="D79" s="112" t="s">
        <v>64</v>
      </c>
      <c r="E79" s="60" t="s">
        <v>362</v>
      </c>
      <c r="F79" s="39">
        <v>1</v>
      </c>
      <c r="G79" s="40">
        <v>5.3</v>
      </c>
      <c r="H79" s="40">
        <v>6</v>
      </c>
      <c r="I79" s="120">
        <f t="shared" si="40"/>
        <v>1.8170973966824597</v>
      </c>
      <c r="J79" s="42">
        <f t="shared" si="41"/>
        <v>0.34284856541178488</v>
      </c>
      <c r="K79" s="41">
        <f t="shared" si="42"/>
        <v>2.9167396363433249</v>
      </c>
      <c r="L79" s="43">
        <f t="shared" si="43"/>
        <v>0.84504372230143843</v>
      </c>
      <c r="M79" s="43">
        <f t="shared" si="44"/>
        <v>5.3</v>
      </c>
      <c r="N79" s="43">
        <f t="shared" si="45"/>
        <v>4.3667725774667909</v>
      </c>
      <c r="O79" s="43">
        <f t="shared" si="46"/>
        <v>12.944106168190759</v>
      </c>
      <c r="P79" s="44">
        <f t="shared" si="47"/>
        <v>3.9317578858087918</v>
      </c>
      <c r="Q79" s="45">
        <f t="shared" si="55"/>
        <v>0.18867924528301888</v>
      </c>
      <c r="R79" s="52">
        <v>3</v>
      </c>
      <c r="S79" s="53">
        <v>0.35184631840544622</v>
      </c>
      <c r="T79" s="53">
        <v>2.3659738927290714</v>
      </c>
      <c r="U79" s="53">
        <v>7.81472776394987</v>
      </c>
      <c r="V79" s="53">
        <f t="shared" si="48"/>
        <v>0.14871098936751298</v>
      </c>
      <c r="W79" s="52">
        <f t="shared" si="49"/>
        <v>4</v>
      </c>
      <c r="X79" s="53">
        <v>0.71072302281597644</v>
      </c>
      <c r="Y79" s="53">
        <v>3.3566940013967228</v>
      </c>
      <c r="Z79" s="53">
        <v>9.487729036988851</v>
      </c>
      <c r="AA79" s="53">
        <f t="shared" si="50"/>
        <v>0.21173303927025938</v>
      </c>
      <c r="AB79" s="53">
        <f t="shared" si="51"/>
        <v>3.6341947933649195</v>
      </c>
      <c r="AC79" s="53">
        <f t="shared" si="52"/>
        <v>0.57944405580256575</v>
      </c>
      <c r="AD79" s="53">
        <f t="shared" si="53"/>
        <v>2.994283427328023</v>
      </c>
      <c r="AE79" s="54">
        <f t="shared" si="54"/>
        <v>8.8757364606040738</v>
      </c>
    </row>
    <row r="80" spans="2:31" x14ac:dyDescent="0.3">
      <c r="B80" s="49">
        <f t="shared" si="56"/>
        <v>69</v>
      </c>
      <c r="C80" s="62" t="s">
        <v>369</v>
      </c>
      <c r="D80" s="112" t="s">
        <v>65</v>
      </c>
      <c r="E80" s="60" t="s">
        <v>362</v>
      </c>
      <c r="F80" s="39">
        <v>1</v>
      </c>
      <c r="G80" s="40">
        <v>5.3</v>
      </c>
      <c r="H80" s="40">
        <v>6</v>
      </c>
      <c r="I80" s="120">
        <f t="shared" si="40"/>
        <v>1.8170973966824597</v>
      </c>
      <c r="J80" s="42">
        <f t="shared" si="41"/>
        <v>0.34284856541178488</v>
      </c>
      <c r="K80" s="41">
        <f t="shared" si="42"/>
        <v>2.9167396363433249</v>
      </c>
      <c r="L80" s="43">
        <f t="shared" si="43"/>
        <v>0.84504372230143843</v>
      </c>
      <c r="M80" s="43">
        <f t="shared" si="44"/>
        <v>5.3</v>
      </c>
      <c r="N80" s="43">
        <f t="shared" si="45"/>
        <v>4.3667725774667909</v>
      </c>
      <c r="O80" s="43">
        <f t="shared" si="46"/>
        <v>12.944106168190759</v>
      </c>
      <c r="P80" s="44">
        <f t="shared" si="47"/>
        <v>3.9317578858087918</v>
      </c>
      <c r="Q80" s="45">
        <f t="shared" si="55"/>
        <v>0.18867924528301888</v>
      </c>
      <c r="R80" s="52">
        <v>3</v>
      </c>
      <c r="S80" s="53">
        <v>0.35184631840544622</v>
      </c>
      <c r="T80" s="53">
        <v>2.3659738927290714</v>
      </c>
      <c r="U80" s="53">
        <v>7.81472776394987</v>
      </c>
      <c r="V80" s="53">
        <f t="shared" si="48"/>
        <v>0.14871098936751298</v>
      </c>
      <c r="W80" s="52">
        <f t="shared" si="49"/>
        <v>4</v>
      </c>
      <c r="X80" s="53">
        <v>0.71072302281597644</v>
      </c>
      <c r="Y80" s="53">
        <v>3.3566940013967228</v>
      </c>
      <c r="Z80" s="53">
        <v>9.487729036988851</v>
      </c>
      <c r="AA80" s="53">
        <f t="shared" si="50"/>
        <v>0.21173303927025938</v>
      </c>
      <c r="AB80" s="53">
        <f t="shared" si="51"/>
        <v>3.6341947933649195</v>
      </c>
      <c r="AC80" s="53">
        <f t="shared" si="52"/>
        <v>0.57944405580256575</v>
      </c>
      <c r="AD80" s="53">
        <f t="shared" si="53"/>
        <v>2.994283427328023</v>
      </c>
      <c r="AE80" s="54">
        <f t="shared" si="54"/>
        <v>8.8757364606040738</v>
      </c>
    </row>
    <row r="81" spans="2:31" x14ac:dyDescent="0.3">
      <c r="B81" s="49">
        <f t="shared" si="56"/>
        <v>70</v>
      </c>
      <c r="C81" s="62" t="s">
        <v>369</v>
      </c>
      <c r="D81" s="112" t="s">
        <v>66</v>
      </c>
      <c r="E81" s="60" t="s">
        <v>362</v>
      </c>
      <c r="F81" s="39">
        <v>1</v>
      </c>
      <c r="G81" s="40">
        <v>5.3</v>
      </c>
      <c r="H81" s="40">
        <v>6</v>
      </c>
      <c r="I81" s="120">
        <f t="shared" si="40"/>
        <v>1.8170973966824597</v>
      </c>
      <c r="J81" s="42">
        <f t="shared" si="41"/>
        <v>0.34284856541178488</v>
      </c>
      <c r="K81" s="41">
        <f t="shared" si="42"/>
        <v>2.9167396363433249</v>
      </c>
      <c r="L81" s="43">
        <f t="shared" si="43"/>
        <v>0.84504372230143843</v>
      </c>
      <c r="M81" s="43">
        <f t="shared" si="44"/>
        <v>5.3</v>
      </c>
      <c r="N81" s="43">
        <f t="shared" si="45"/>
        <v>4.3667725774667909</v>
      </c>
      <c r="O81" s="43">
        <f t="shared" si="46"/>
        <v>12.944106168190759</v>
      </c>
      <c r="P81" s="44">
        <f t="shared" si="47"/>
        <v>3.9317578858087918</v>
      </c>
      <c r="Q81" s="45">
        <f t="shared" si="55"/>
        <v>0.18867924528301888</v>
      </c>
      <c r="R81" s="52">
        <v>3</v>
      </c>
      <c r="S81" s="53">
        <v>0.35184631840544622</v>
      </c>
      <c r="T81" s="53">
        <v>2.3659738927290714</v>
      </c>
      <c r="U81" s="53">
        <v>7.81472776394987</v>
      </c>
      <c r="V81" s="53">
        <f t="shared" si="48"/>
        <v>0.14871098936751298</v>
      </c>
      <c r="W81" s="52">
        <f t="shared" si="49"/>
        <v>4</v>
      </c>
      <c r="X81" s="53">
        <v>0.71072302281597644</v>
      </c>
      <c r="Y81" s="53">
        <v>3.3566940013967228</v>
      </c>
      <c r="Z81" s="53">
        <v>9.487729036988851</v>
      </c>
      <c r="AA81" s="53">
        <f t="shared" si="50"/>
        <v>0.21173303927025938</v>
      </c>
      <c r="AB81" s="53">
        <f t="shared" si="51"/>
        <v>3.6341947933649195</v>
      </c>
      <c r="AC81" s="53">
        <f t="shared" si="52"/>
        <v>0.57944405580256575</v>
      </c>
      <c r="AD81" s="53">
        <f t="shared" si="53"/>
        <v>2.994283427328023</v>
      </c>
      <c r="AE81" s="54">
        <f t="shared" si="54"/>
        <v>8.8757364606040738</v>
      </c>
    </row>
    <row r="82" spans="2:31" ht="15" customHeight="1" x14ac:dyDescent="0.3">
      <c r="B82" s="49">
        <f t="shared" si="56"/>
        <v>71</v>
      </c>
      <c r="C82" s="62" t="s">
        <v>372</v>
      </c>
      <c r="D82" s="112" t="s">
        <v>67</v>
      </c>
      <c r="E82" s="60" t="s">
        <v>191</v>
      </c>
      <c r="F82" s="39">
        <v>1</v>
      </c>
      <c r="G82" s="40">
        <v>9.6</v>
      </c>
      <c r="H82" s="40">
        <v>125</v>
      </c>
      <c r="I82" s="120">
        <f t="shared" si="40"/>
        <v>1.2018867686419936</v>
      </c>
      <c r="J82" s="42">
        <f t="shared" si="41"/>
        <v>0.12519653840020767</v>
      </c>
      <c r="K82" s="41">
        <f t="shared" si="42"/>
        <v>7.9874412885391823</v>
      </c>
      <c r="L82" s="43">
        <f t="shared" si="43"/>
        <v>0.81164812595899194</v>
      </c>
      <c r="M82" s="43">
        <f t="shared" si="44"/>
        <v>9.6</v>
      </c>
      <c r="N82" s="43">
        <f t="shared" si="45"/>
        <v>7.1162632078206389</v>
      </c>
      <c r="O82" s="43">
        <f t="shared" si="46"/>
        <v>26.868354634997626</v>
      </c>
      <c r="P82" s="44">
        <f t="shared" si="47"/>
        <v>8.7566795287926436</v>
      </c>
      <c r="Q82" s="45">
        <f t="shared" si="55"/>
        <v>0.10416666666666667</v>
      </c>
      <c r="R82" s="52">
        <v>2</v>
      </c>
      <c r="S82" s="53">
        <v>0.10258658882167279</v>
      </c>
      <c r="T82" s="53">
        <v>1.3862943760896287</v>
      </c>
      <c r="U82" s="53">
        <v>5.9914645471914136</v>
      </c>
      <c r="V82" s="53">
        <f t="shared" si="48"/>
        <v>7.4000580678284605E-2</v>
      </c>
      <c r="W82" s="52">
        <f t="shared" si="49"/>
        <v>3</v>
      </c>
      <c r="X82" s="53">
        <v>0.35184631840544622</v>
      </c>
      <c r="Y82" s="53">
        <v>2.3659738927290714</v>
      </c>
      <c r="Z82" s="53">
        <v>7.81472776394987</v>
      </c>
      <c r="AA82" s="53">
        <f t="shared" si="50"/>
        <v>0.14871098936751298</v>
      </c>
      <c r="AB82" s="53">
        <f t="shared" si="51"/>
        <v>2.4037735372839872</v>
      </c>
      <c r="AC82" s="53">
        <f t="shared" si="52"/>
        <v>0.20323107153816306</v>
      </c>
      <c r="AD82" s="53">
        <f t="shared" si="53"/>
        <v>1.7818630399278033</v>
      </c>
      <c r="AE82" s="54">
        <f t="shared" si="54"/>
        <v>6.7276499856217562</v>
      </c>
    </row>
    <row r="83" spans="2:31" ht="15" customHeight="1" x14ac:dyDescent="0.3">
      <c r="B83" s="49">
        <f t="shared" si="56"/>
        <v>72</v>
      </c>
      <c r="C83" s="62" t="s">
        <v>372</v>
      </c>
      <c r="D83" s="112" t="s">
        <v>68</v>
      </c>
      <c r="E83" s="60" t="s">
        <v>192</v>
      </c>
      <c r="F83" s="39"/>
      <c r="G83" s="40"/>
      <c r="H83" s="40"/>
      <c r="I83" s="120" t="e">
        <f t="shared" si="40"/>
        <v>#DIV/0!</v>
      </c>
      <c r="J83" s="42" t="e">
        <f t="shared" si="41"/>
        <v>#DIV/0!</v>
      </c>
      <c r="K83" s="41" t="e">
        <f t="shared" si="42"/>
        <v>#DIV/0!</v>
      </c>
      <c r="L83" s="43" t="e">
        <f t="shared" si="43"/>
        <v>#DIV/0!</v>
      </c>
      <c r="M83" s="43" t="e">
        <f t="shared" si="44"/>
        <v>#DIV/0!</v>
      </c>
      <c r="N83" s="43" t="e">
        <f t="shared" si="45"/>
        <v>#DIV/0!</v>
      </c>
      <c r="O83" s="43" t="e">
        <f t="shared" si="46"/>
        <v>#DIV/0!</v>
      </c>
      <c r="P83" s="44" t="e">
        <f t="shared" si="47"/>
        <v>#DIV/0!</v>
      </c>
      <c r="Q83" s="45" t="e">
        <f t="shared" si="55"/>
        <v>#DIV/0!</v>
      </c>
      <c r="R83" s="52" t="e">
        <v>#DIV/0!</v>
      </c>
      <c r="S83" s="53" t="e">
        <v>#DIV/0!</v>
      </c>
      <c r="T83" s="53" t="e">
        <v>#DIV/0!</v>
      </c>
      <c r="U83" s="53" t="e">
        <v>#DIV/0!</v>
      </c>
      <c r="V83" s="53" t="e">
        <f t="shared" si="48"/>
        <v>#DIV/0!</v>
      </c>
      <c r="W83" s="52" t="e">
        <f t="shared" si="49"/>
        <v>#DIV/0!</v>
      </c>
      <c r="X83" s="53" t="e">
        <v>#DIV/0!</v>
      </c>
      <c r="Y83" s="53" t="e">
        <v>#DIV/0!</v>
      </c>
      <c r="Z83" s="53" t="e">
        <v>#DIV/0!</v>
      </c>
      <c r="AA83" s="53" t="e">
        <f t="shared" si="50"/>
        <v>#DIV/0!</v>
      </c>
      <c r="AB83" s="53" t="e">
        <f t="shared" si="51"/>
        <v>#DIV/0!</v>
      </c>
      <c r="AC83" s="53" t="e">
        <f t="shared" si="52"/>
        <v>#DIV/0!</v>
      </c>
      <c r="AD83" s="53" t="e">
        <f t="shared" si="53"/>
        <v>#DIV/0!</v>
      </c>
      <c r="AE83" s="54" t="e">
        <f t="shared" si="54"/>
        <v>#DIV/0!</v>
      </c>
    </row>
    <row r="84" spans="2:31" ht="15" customHeight="1" x14ac:dyDescent="0.3">
      <c r="B84" s="49">
        <f t="shared" si="56"/>
        <v>73</v>
      </c>
      <c r="C84" s="62" t="s">
        <v>372</v>
      </c>
      <c r="D84" s="112" t="s">
        <v>69</v>
      </c>
      <c r="E84" s="60" t="s">
        <v>187</v>
      </c>
      <c r="F84" s="39">
        <v>1</v>
      </c>
      <c r="G84" s="40">
        <v>3.1</v>
      </c>
      <c r="H84" s="40">
        <v>6</v>
      </c>
      <c r="I84" s="120">
        <f t="shared" si="40"/>
        <v>3.2348589594942467</v>
      </c>
      <c r="J84" s="42">
        <f t="shared" si="41"/>
        <v>1.0435028901594343</v>
      </c>
      <c r="K84" s="41">
        <f t="shared" si="42"/>
        <v>0.9583107142589824</v>
      </c>
      <c r="L84" s="43">
        <f t="shared" si="43"/>
        <v>0.9033311533281102</v>
      </c>
      <c r="M84" s="43">
        <f t="shared" si="44"/>
        <v>3.1000000000000005</v>
      </c>
      <c r="N84" s="43">
        <f t="shared" si="45"/>
        <v>2.7871288222681176</v>
      </c>
      <c r="O84" s="43">
        <f t="shared" si="46"/>
        <v>6.365426077212649</v>
      </c>
      <c r="P84" s="44">
        <f t="shared" si="47"/>
        <v>1.7235902106367529</v>
      </c>
      <c r="Q84" s="45">
        <f t="shared" si="55"/>
        <v>0.32258064516129031</v>
      </c>
      <c r="R84" s="52">
        <v>6</v>
      </c>
      <c r="S84" s="53">
        <v>1.6353828954369192</v>
      </c>
      <c r="T84" s="53">
        <v>5.3481208434097312</v>
      </c>
      <c r="U84" s="53">
        <v>12.591587244072656</v>
      </c>
      <c r="V84" s="53">
        <f t="shared" si="48"/>
        <v>0.30578645160049706</v>
      </c>
      <c r="W84" s="52">
        <f t="shared" si="49"/>
        <v>7</v>
      </c>
      <c r="X84" s="53">
        <v>2.1673499186219098</v>
      </c>
      <c r="Y84" s="53">
        <v>6.3458113725816272</v>
      </c>
      <c r="Z84" s="53">
        <v>14.067140433005996</v>
      </c>
      <c r="AA84" s="53">
        <f t="shared" si="50"/>
        <v>0.34154023675938233</v>
      </c>
      <c r="AB84" s="53">
        <f t="shared" si="51"/>
        <v>6.4697179189884935</v>
      </c>
      <c r="AC84" s="53">
        <f t="shared" si="52"/>
        <v>1.8852573385378764</v>
      </c>
      <c r="AD84" s="53">
        <f t="shared" si="53"/>
        <v>5.8167539625668825</v>
      </c>
      <c r="AE84" s="54">
        <f t="shared" si="54"/>
        <v>13.284681017335259</v>
      </c>
    </row>
    <row r="85" spans="2:31" x14ac:dyDescent="0.3">
      <c r="B85" s="49">
        <f t="shared" si="56"/>
        <v>74</v>
      </c>
      <c r="C85" s="62" t="s">
        <v>372</v>
      </c>
      <c r="D85" s="112" t="s">
        <v>70</v>
      </c>
      <c r="E85" s="60" t="s">
        <v>362</v>
      </c>
      <c r="F85" s="39">
        <v>1</v>
      </c>
      <c r="G85" s="40">
        <v>5.3</v>
      </c>
      <c r="H85" s="40">
        <v>6</v>
      </c>
      <c r="I85" s="120">
        <f t="shared" si="40"/>
        <v>1.8170973966824597</v>
      </c>
      <c r="J85" s="42">
        <f t="shared" si="41"/>
        <v>0.34284856541178488</v>
      </c>
      <c r="K85" s="41">
        <f t="shared" si="42"/>
        <v>2.9167396363433249</v>
      </c>
      <c r="L85" s="43">
        <f t="shared" si="43"/>
        <v>0.84504372230143843</v>
      </c>
      <c r="M85" s="43">
        <f t="shared" si="44"/>
        <v>5.3</v>
      </c>
      <c r="N85" s="43">
        <f t="shared" si="45"/>
        <v>4.3667725774667909</v>
      </c>
      <c r="O85" s="43">
        <f t="shared" si="46"/>
        <v>12.944106168190759</v>
      </c>
      <c r="P85" s="44">
        <f t="shared" si="47"/>
        <v>3.9317578858087918</v>
      </c>
      <c r="Q85" s="45">
        <f t="shared" si="55"/>
        <v>0.18867924528301888</v>
      </c>
      <c r="R85" s="52">
        <v>3</v>
      </c>
      <c r="S85" s="53">
        <v>0.35184631840544622</v>
      </c>
      <c r="T85" s="53">
        <v>2.3659738927290714</v>
      </c>
      <c r="U85" s="53">
        <v>7.81472776394987</v>
      </c>
      <c r="V85" s="53">
        <f t="shared" si="48"/>
        <v>0.14871098936751298</v>
      </c>
      <c r="W85" s="52">
        <f t="shared" si="49"/>
        <v>4</v>
      </c>
      <c r="X85" s="53">
        <v>0.71072302281597644</v>
      </c>
      <c r="Y85" s="53">
        <v>3.3566940013967228</v>
      </c>
      <c r="Z85" s="53">
        <v>9.487729036988851</v>
      </c>
      <c r="AA85" s="53">
        <f t="shared" si="50"/>
        <v>0.21173303927025938</v>
      </c>
      <c r="AB85" s="53">
        <f t="shared" si="51"/>
        <v>3.6341947933649195</v>
      </c>
      <c r="AC85" s="53">
        <f t="shared" si="52"/>
        <v>0.57944405580256575</v>
      </c>
      <c r="AD85" s="53">
        <f t="shared" si="53"/>
        <v>2.994283427328023</v>
      </c>
      <c r="AE85" s="54">
        <f t="shared" si="54"/>
        <v>8.8757364606040738</v>
      </c>
    </row>
    <row r="86" spans="2:31" ht="15" customHeight="1" x14ac:dyDescent="0.3">
      <c r="B86" s="49">
        <f t="shared" si="56"/>
        <v>75</v>
      </c>
      <c r="C86" s="62" t="s">
        <v>372</v>
      </c>
      <c r="D86" s="112" t="s">
        <v>71</v>
      </c>
      <c r="E86" s="60" t="s">
        <v>193</v>
      </c>
      <c r="F86" s="39">
        <v>0.5</v>
      </c>
      <c r="G86" s="61">
        <v>10</v>
      </c>
      <c r="H86" s="61">
        <v>407</v>
      </c>
      <c r="I86" s="120">
        <f t="shared" si="40"/>
        <v>0.81638946157786041</v>
      </c>
      <c r="J86" s="42">
        <f t="shared" si="41"/>
        <v>8.1638946157786038E-2</v>
      </c>
      <c r="K86" s="41">
        <f t="shared" si="42"/>
        <v>12.249055714992572</v>
      </c>
      <c r="L86" s="43">
        <f t="shared" si="43"/>
        <v>0.40641506911322406</v>
      </c>
      <c r="M86" s="43">
        <f t="shared" si="44"/>
        <v>10</v>
      </c>
      <c r="N86" s="43">
        <f t="shared" si="45"/>
        <v>6.3957226025584655</v>
      </c>
      <c r="O86" s="43">
        <f t="shared" si="46"/>
        <v>31.859409599509394</v>
      </c>
      <c r="P86" s="44">
        <f t="shared" si="47"/>
        <v>11.067545217884845</v>
      </c>
      <c r="Q86" s="45">
        <f t="shared" si="55"/>
        <v>0.05</v>
      </c>
      <c r="R86" s="52">
        <v>1</v>
      </c>
      <c r="S86" s="53">
        <v>3.9321400005324098E-3</v>
      </c>
      <c r="T86" s="53">
        <v>0.4549364250484666</v>
      </c>
      <c r="U86" s="53">
        <v>3.841459149489757</v>
      </c>
      <c r="V86" s="53">
        <f t="shared" si="48"/>
        <v>8.6432736180961992E-3</v>
      </c>
      <c r="W86" s="52">
        <f t="shared" si="49"/>
        <v>2</v>
      </c>
      <c r="X86" s="53">
        <v>0.10258658882167279</v>
      </c>
      <c r="Y86" s="53">
        <v>1.3862943760896287</v>
      </c>
      <c r="Z86" s="53">
        <v>5.9914645471914136</v>
      </c>
      <c r="AA86" s="53">
        <f t="shared" si="50"/>
        <v>7.4000580678284605E-2</v>
      </c>
      <c r="AB86" s="53">
        <f t="shared" si="51"/>
        <v>1.6327789231557208</v>
      </c>
      <c r="AC86" s="53">
        <f t="shared" si="52"/>
        <v>6.6358595890094782E-2</v>
      </c>
      <c r="AD86" s="53">
        <f t="shared" si="53"/>
        <v>1.0442801063808116</v>
      </c>
      <c r="AE86" s="54">
        <f t="shared" si="54"/>
        <v>5.2019372498263987</v>
      </c>
    </row>
    <row r="87" spans="2:31" ht="15" customHeight="1" x14ac:dyDescent="0.3">
      <c r="B87" s="49">
        <f t="shared" si="56"/>
        <v>76</v>
      </c>
      <c r="C87" s="62" t="s">
        <v>373</v>
      </c>
      <c r="D87" s="112" t="s">
        <v>72</v>
      </c>
      <c r="E87" s="60" t="s">
        <v>194</v>
      </c>
      <c r="F87" s="39">
        <v>1</v>
      </c>
      <c r="G87" s="40">
        <v>9.6999999999999993</v>
      </c>
      <c r="H87" s="40">
        <v>36</v>
      </c>
      <c r="I87" s="120">
        <f t="shared" si="40"/>
        <v>1.1946997971051423</v>
      </c>
      <c r="J87" s="42">
        <f t="shared" si="41"/>
        <v>0.12316492753661262</v>
      </c>
      <c r="K87" s="41">
        <f t="shared" si="42"/>
        <v>8.119194481746721</v>
      </c>
      <c r="L87" s="43">
        <f t="shared" si="43"/>
        <v>0.8104913889354215</v>
      </c>
      <c r="M87" s="43">
        <f t="shared" si="44"/>
        <v>9.6999999999999993</v>
      </c>
      <c r="N87" s="43">
        <f t="shared" si="45"/>
        <v>7.176479610235047</v>
      </c>
      <c r="O87" s="43">
        <f t="shared" si="46"/>
        <v>27.205157498848809</v>
      </c>
      <c r="P87" s="44">
        <f t="shared" si="47"/>
        <v>8.8744682360659333</v>
      </c>
      <c r="Q87" s="45">
        <f t="shared" si="55"/>
        <v>0.10309278350515465</v>
      </c>
      <c r="R87" s="52">
        <v>2</v>
      </c>
      <c r="S87" s="53">
        <v>0.10258658882167279</v>
      </c>
      <c r="T87" s="53">
        <v>1.3862943760896287</v>
      </c>
      <c r="U87" s="53">
        <v>5.9914645471914136</v>
      </c>
      <c r="V87" s="53">
        <f t="shared" si="48"/>
        <v>7.4000580678284605E-2</v>
      </c>
      <c r="W87" s="52">
        <f t="shared" si="49"/>
        <v>3</v>
      </c>
      <c r="X87" s="53">
        <v>0.35184631840544622</v>
      </c>
      <c r="Y87" s="53">
        <v>2.3659738927290714</v>
      </c>
      <c r="Z87" s="53">
        <v>7.81472776394987</v>
      </c>
      <c r="AA87" s="53">
        <f t="shared" si="50"/>
        <v>0.14871098936751298</v>
      </c>
      <c r="AB87" s="53">
        <f t="shared" si="51"/>
        <v>2.3893995942102846</v>
      </c>
      <c r="AC87" s="53">
        <f t="shared" si="52"/>
        <v>0.19964822637455942</v>
      </c>
      <c r="AD87" s="53">
        <f t="shared" si="53"/>
        <v>1.7677811823251552</v>
      </c>
      <c r="AE87" s="54">
        <f t="shared" si="54"/>
        <v>6.7014425039356942</v>
      </c>
    </row>
    <row r="88" spans="2:31" ht="15" customHeight="1" x14ac:dyDescent="0.3">
      <c r="B88" s="49">
        <f t="shared" si="56"/>
        <v>77</v>
      </c>
      <c r="C88" s="62" t="s">
        <v>373</v>
      </c>
      <c r="D88" s="112" t="s">
        <v>73</v>
      </c>
      <c r="E88" s="60" t="s">
        <v>195</v>
      </c>
      <c r="F88" s="39">
        <v>0.5</v>
      </c>
      <c r="G88" s="40">
        <v>6.8</v>
      </c>
      <c r="H88" s="40">
        <v>297</v>
      </c>
      <c r="I88" s="120">
        <f t="shared" si="40"/>
        <v>0.99639543813253484</v>
      </c>
      <c r="J88" s="42">
        <f t="shared" si="41"/>
        <v>0.14652874090184337</v>
      </c>
      <c r="K88" s="41">
        <f t="shared" si="42"/>
        <v>6.8245996918098113</v>
      </c>
      <c r="L88" s="43">
        <f t="shared" si="43"/>
        <v>0.34762933219143705</v>
      </c>
      <c r="M88" s="43">
        <f t="shared" si="44"/>
        <v>6.8</v>
      </c>
      <c r="N88" s="43">
        <f t="shared" si="45"/>
        <v>4.7075409673492459</v>
      </c>
      <c r="O88" s="43">
        <f t="shared" si="46"/>
        <v>20.391784080953073</v>
      </c>
      <c r="P88" s="44">
        <f t="shared" si="47"/>
        <v>6.8122887419946254</v>
      </c>
      <c r="Q88" s="45">
        <f t="shared" si="55"/>
        <v>7.3529411764705885E-2</v>
      </c>
      <c r="R88" s="52">
        <v>1</v>
      </c>
      <c r="S88" s="53">
        <v>3.9321400005324098E-3</v>
      </c>
      <c r="T88" s="53">
        <v>0.4549364250484666</v>
      </c>
      <c r="U88" s="53">
        <v>3.841459149489757</v>
      </c>
      <c r="V88" s="53">
        <f t="shared" si="48"/>
        <v>8.6432736180961992E-3</v>
      </c>
      <c r="W88" s="52">
        <f t="shared" si="49"/>
        <v>2</v>
      </c>
      <c r="X88" s="53">
        <v>0.10258658882167279</v>
      </c>
      <c r="Y88" s="53">
        <v>1.3862943760896287</v>
      </c>
      <c r="Z88" s="53">
        <v>5.9914645471914136</v>
      </c>
      <c r="AA88" s="53">
        <f t="shared" si="50"/>
        <v>7.4000580678284605E-2</v>
      </c>
      <c r="AB88" s="53">
        <f t="shared" si="51"/>
        <v>1.9927908762650697</v>
      </c>
      <c r="AC88" s="53">
        <f t="shared" si="52"/>
        <v>0.10187537669311984</v>
      </c>
      <c r="AD88" s="53">
        <f t="shared" si="53"/>
        <v>1.3795801013790616</v>
      </c>
      <c r="AE88" s="54">
        <f t="shared" si="54"/>
        <v>5.9759648922486139</v>
      </c>
    </row>
    <row r="89" spans="2:31" x14ac:dyDescent="0.3">
      <c r="B89" s="49">
        <f t="shared" si="56"/>
        <v>78</v>
      </c>
      <c r="C89" s="62" t="s">
        <v>373</v>
      </c>
      <c r="D89" s="112" t="s">
        <v>74</v>
      </c>
      <c r="E89" s="60" t="s">
        <v>362</v>
      </c>
      <c r="F89" s="39">
        <v>1</v>
      </c>
      <c r="G89" s="40">
        <v>5.3</v>
      </c>
      <c r="H89" s="40">
        <v>6</v>
      </c>
      <c r="I89" s="120">
        <f t="shared" si="40"/>
        <v>1.8170973966824597</v>
      </c>
      <c r="J89" s="42">
        <f t="shared" si="41"/>
        <v>0.34284856541178488</v>
      </c>
      <c r="K89" s="41">
        <f t="shared" si="42"/>
        <v>2.9167396363433249</v>
      </c>
      <c r="L89" s="43">
        <f t="shared" si="43"/>
        <v>0.84504372230143843</v>
      </c>
      <c r="M89" s="43">
        <f t="shared" si="44"/>
        <v>5.3</v>
      </c>
      <c r="N89" s="43">
        <f t="shared" si="45"/>
        <v>4.3667725774667909</v>
      </c>
      <c r="O89" s="43">
        <f t="shared" si="46"/>
        <v>12.944106168190759</v>
      </c>
      <c r="P89" s="44">
        <f t="shared" si="47"/>
        <v>3.9317578858087918</v>
      </c>
      <c r="Q89" s="45">
        <f t="shared" si="55"/>
        <v>0.18867924528301888</v>
      </c>
      <c r="R89" s="52">
        <v>3</v>
      </c>
      <c r="S89" s="53">
        <v>0.35184631840544622</v>
      </c>
      <c r="T89" s="53">
        <v>2.3659738927290714</v>
      </c>
      <c r="U89" s="53">
        <v>7.81472776394987</v>
      </c>
      <c r="V89" s="53">
        <f t="shared" si="48"/>
        <v>0.14871098936751298</v>
      </c>
      <c r="W89" s="52">
        <f t="shared" si="49"/>
        <v>4</v>
      </c>
      <c r="X89" s="53">
        <v>0.71072302281597644</v>
      </c>
      <c r="Y89" s="53">
        <v>3.3566940013967228</v>
      </c>
      <c r="Z89" s="53">
        <v>9.487729036988851</v>
      </c>
      <c r="AA89" s="53">
        <f t="shared" si="50"/>
        <v>0.21173303927025938</v>
      </c>
      <c r="AB89" s="53">
        <f t="shared" si="51"/>
        <v>3.6341947933649195</v>
      </c>
      <c r="AC89" s="53">
        <f t="shared" si="52"/>
        <v>0.57944405580256575</v>
      </c>
      <c r="AD89" s="53">
        <f t="shared" si="53"/>
        <v>2.994283427328023</v>
      </c>
      <c r="AE89" s="54">
        <f t="shared" si="54"/>
        <v>8.8757364606040738</v>
      </c>
    </row>
    <row r="90" spans="2:31" ht="15" customHeight="1" x14ac:dyDescent="0.3">
      <c r="B90" s="49">
        <f t="shared" si="56"/>
        <v>79</v>
      </c>
      <c r="C90" s="62" t="s">
        <v>373</v>
      </c>
      <c r="D90" s="112" t="s">
        <v>75</v>
      </c>
      <c r="E90" s="60" t="s">
        <v>196</v>
      </c>
      <c r="F90" s="39">
        <v>0.3</v>
      </c>
      <c r="G90" s="40">
        <v>11</v>
      </c>
      <c r="H90" s="40">
        <v>1293</v>
      </c>
      <c r="I90" s="120">
        <f t="shared" si="40"/>
        <v>0.64252005240573151</v>
      </c>
      <c r="J90" s="42">
        <f t="shared" si="41"/>
        <v>5.8410913855066499E-2</v>
      </c>
      <c r="K90" s="41">
        <f t="shared" si="42"/>
        <v>17.120088250652511</v>
      </c>
      <c r="L90" s="43">
        <f t="shared" si="43"/>
        <v>0.27437179387535948</v>
      </c>
      <c r="M90" s="43">
        <f t="shared" si="44"/>
        <v>11</v>
      </c>
      <c r="N90" s="43">
        <f t="shared" si="45"/>
        <v>6.1667481767000387</v>
      </c>
      <c r="O90" s="43">
        <f t="shared" si="46"/>
        <v>38.128978125972999</v>
      </c>
      <c r="P90" s="44">
        <f t="shared" si="47"/>
        <v>13.723008808463895</v>
      </c>
      <c r="Q90" s="45">
        <f t="shared" si="55"/>
        <v>2.7272727272727271E-2</v>
      </c>
      <c r="R90" s="52">
        <v>1</v>
      </c>
      <c r="S90" s="53">
        <v>3.9321400005324098E-3</v>
      </c>
      <c r="T90" s="53">
        <v>0.4549364250484666</v>
      </c>
      <c r="U90" s="53">
        <v>3.841459149489757</v>
      </c>
      <c r="V90" s="53">
        <f t="shared" si="48"/>
        <v>8.6432736180961992E-3</v>
      </c>
      <c r="W90" s="52">
        <f t="shared" si="49"/>
        <v>2</v>
      </c>
      <c r="X90" s="53">
        <v>0.10258658882167279</v>
      </c>
      <c r="Y90" s="53">
        <v>1.3862943760896287</v>
      </c>
      <c r="Z90" s="53">
        <v>5.9914645471914136</v>
      </c>
      <c r="AA90" s="53">
        <f t="shared" si="50"/>
        <v>7.4000580678284605E-2</v>
      </c>
      <c r="AB90" s="53">
        <f t="shared" si="51"/>
        <v>1.285040104811463</v>
      </c>
      <c r="AC90" s="53">
        <f t="shared" si="52"/>
        <v>3.2052614432627372E-2</v>
      </c>
      <c r="AD90" s="53">
        <f t="shared" si="53"/>
        <v>0.72041079303022881</v>
      </c>
      <c r="AE90" s="54">
        <f t="shared" si="54"/>
        <v>4.4542969133958481</v>
      </c>
    </row>
    <row r="91" spans="2:31" ht="15" customHeight="1" x14ac:dyDescent="0.3">
      <c r="B91" s="49">
        <f t="shared" si="56"/>
        <v>80</v>
      </c>
      <c r="C91" s="62" t="s">
        <v>373</v>
      </c>
      <c r="D91" s="112" t="s">
        <v>76</v>
      </c>
      <c r="E91" s="60" t="s">
        <v>197</v>
      </c>
      <c r="F91" s="39">
        <v>0.5</v>
      </c>
      <c r="G91" s="40">
        <v>6.8</v>
      </c>
      <c r="H91" s="40">
        <v>297</v>
      </c>
      <c r="I91" s="120">
        <f t="shared" si="40"/>
        <v>0.99639543813253484</v>
      </c>
      <c r="J91" s="42">
        <f t="shared" si="41"/>
        <v>0.14652874090184337</v>
      </c>
      <c r="K91" s="41">
        <f t="shared" si="42"/>
        <v>6.8245996918098113</v>
      </c>
      <c r="L91" s="43">
        <f t="shared" si="43"/>
        <v>0.34762933219143705</v>
      </c>
      <c r="M91" s="43">
        <f t="shared" si="44"/>
        <v>6.8</v>
      </c>
      <c r="N91" s="43">
        <f t="shared" si="45"/>
        <v>4.7075409673492459</v>
      </c>
      <c r="O91" s="43">
        <f t="shared" si="46"/>
        <v>20.391784080953073</v>
      </c>
      <c r="P91" s="44">
        <f t="shared" si="47"/>
        <v>6.8122887419946254</v>
      </c>
      <c r="Q91" s="45">
        <f t="shared" si="55"/>
        <v>7.3529411764705885E-2</v>
      </c>
      <c r="R91" s="52">
        <v>1</v>
      </c>
      <c r="S91" s="53">
        <v>3.9321400005324098E-3</v>
      </c>
      <c r="T91" s="53">
        <v>0.4549364250484666</v>
      </c>
      <c r="U91" s="53">
        <v>3.841459149489757</v>
      </c>
      <c r="V91" s="53">
        <f t="shared" si="48"/>
        <v>8.6432736180961992E-3</v>
      </c>
      <c r="W91" s="52">
        <f t="shared" si="49"/>
        <v>2</v>
      </c>
      <c r="X91" s="53">
        <v>0.10258658882167279</v>
      </c>
      <c r="Y91" s="53">
        <v>1.3862943760896287</v>
      </c>
      <c r="Z91" s="53">
        <v>5.9914645471914136</v>
      </c>
      <c r="AA91" s="53">
        <f t="shared" si="50"/>
        <v>7.4000580678284605E-2</v>
      </c>
      <c r="AB91" s="53">
        <f t="shared" si="51"/>
        <v>1.9927908762650697</v>
      </c>
      <c r="AC91" s="53">
        <f t="shared" si="52"/>
        <v>0.10187537669311984</v>
      </c>
      <c r="AD91" s="53">
        <f t="shared" si="53"/>
        <v>1.3795801013790616</v>
      </c>
      <c r="AE91" s="54">
        <f t="shared" si="54"/>
        <v>5.9759648922486139</v>
      </c>
    </row>
    <row r="92" spans="2:31" ht="15" customHeight="1" x14ac:dyDescent="0.3">
      <c r="B92" s="49">
        <f t="shared" si="56"/>
        <v>81</v>
      </c>
      <c r="C92" s="62" t="s">
        <v>373</v>
      </c>
      <c r="D92" s="112" t="s">
        <v>77</v>
      </c>
      <c r="E92" s="60" t="s">
        <v>210</v>
      </c>
      <c r="F92" s="39">
        <v>1</v>
      </c>
      <c r="G92" s="40">
        <v>4</v>
      </c>
      <c r="H92" s="40">
        <v>17</v>
      </c>
      <c r="I92" s="120">
        <f t="shared" si="40"/>
        <v>2.3714772644484672</v>
      </c>
      <c r="J92" s="42">
        <f t="shared" si="41"/>
        <v>0.5928693161121168</v>
      </c>
      <c r="K92" s="41">
        <f t="shared" si="42"/>
        <v>1.6867123543477349</v>
      </c>
      <c r="L92" s="43">
        <f t="shared" si="43"/>
        <v>0.87179826746217948</v>
      </c>
      <c r="M92" s="43">
        <f t="shared" si="44"/>
        <v>4</v>
      </c>
      <c r="N92" s="43">
        <f t="shared" si="45"/>
        <v>3.4541845554826032</v>
      </c>
      <c r="O92" s="43">
        <f t="shared" si="46"/>
        <v>8.993258661015533</v>
      </c>
      <c r="P92" s="44">
        <f t="shared" si="47"/>
        <v>2.5974698106794119</v>
      </c>
      <c r="Q92" s="45">
        <f t="shared" si="55"/>
        <v>0.25</v>
      </c>
      <c r="R92" s="52">
        <v>4</v>
      </c>
      <c r="S92" s="53">
        <v>0.71072302281597644</v>
      </c>
      <c r="T92" s="53">
        <v>3.3566940013967228</v>
      </c>
      <c r="U92" s="53">
        <v>9.487729036988851</v>
      </c>
      <c r="V92" s="53">
        <f t="shared" si="48"/>
        <v>0.21173303927025938</v>
      </c>
      <c r="W92" s="52">
        <f t="shared" si="49"/>
        <v>5</v>
      </c>
      <c r="X92" s="53">
        <v>1.1454762275641139</v>
      </c>
      <c r="Y92" s="53">
        <v>4.3514602221082166</v>
      </c>
      <c r="Z92" s="53">
        <v>11.070497754622684</v>
      </c>
      <c r="AA92" s="53">
        <f t="shared" si="50"/>
        <v>0.26323950331531426</v>
      </c>
      <c r="AB92" s="53">
        <f t="shared" si="51"/>
        <v>4.7429545288969344</v>
      </c>
      <c r="AC92" s="53">
        <f t="shared" si="52"/>
        <v>1.0337248852360612</v>
      </c>
      <c r="AD92" s="53">
        <f t="shared" si="53"/>
        <v>4.0957600702680139</v>
      </c>
      <c r="AE92" s="54">
        <f t="shared" si="54"/>
        <v>10.663654223951299</v>
      </c>
    </row>
    <row r="93" spans="2:31" ht="15" customHeight="1" x14ac:dyDescent="0.3">
      <c r="B93" s="49">
        <f t="shared" si="56"/>
        <v>82</v>
      </c>
      <c r="C93" s="62" t="s">
        <v>373</v>
      </c>
      <c r="D93" s="112" t="s">
        <v>78</v>
      </c>
      <c r="E93" s="60" t="s">
        <v>198</v>
      </c>
      <c r="F93" s="39">
        <v>1</v>
      </c>
      <c r="G93" s="40">
        <v>9.6999999999999993</v>
      </c>
      <c r="H93" s="40">
        <v>36</v>
      </c>
      <c r="I93" s="120">
        <f t="shared" si="40"/>
        <v>1.1946997971051423</v>
      </c>
      <c r="J93" s="42">
        <f t="shared" si="41"/>
        <v>0.12316492753661262</v>
      </c>
      <c r="K93" s="41">
        <f t="shared" si="42"/>
        <v>8.119194481746721</v>
      </c>
      <c r="L93" s="43">
        <f t="shared" si="43"/>
        <v>0.8104913889354215</v>
      </c>
      <c r="M93" s="43">
        <f t="shared" si="44"/>
        <v>9.6999999999999993</v>
      </c>
      <c r="N93" s="43">
        <f t="shared" si="45"/>
        <v>7.176479610235047</v>
      </c>
      <c r="O93" s="43">
        <f t="shared" si="46"/>
        <v>27.205157498848809</v>
      </c>
      <c r="P93" s="44">
        <f t="shared" si="47"/>
        <v>8.8744682360659333</v>
      </c>
      <c r="Q93" s="45">
        <f t="shared" si="55"/>
        <v>0.10309278350515465</v>
      </c>
      <c r="R93" s="52">
        <v>2</v>
      </c>
      <c r="S93" s="53">
        <v>0.10258658882167279</v>
      </c>
      <c r="T93" s="53">
        <v>1.3862943760896287</v>
      </c>
      <c r="U93" s="53">
        <v>5.9914645471914136</v>
      </c>
      <c r="V93" s="53">
        <f t="shared" si="48"/>
        <v>7.4000580678284605E-2</v>
      </c>
      <c r="W93" s="52">
        <f t="shared" si="49"/>
        <v>3</v>
      </c>
      <c r="X93" s="53">
        <v>0.35184631840544622</v>
      </c>
      <c r="Y93" s="53">
        <v>2.3659738927290714</v>
      </c>
      <c r="Z93" s="53">
        <v>7.81472776394987</v>
      </c>
      <c r="AA93" s="53">
        <f t="shared" si="50"/>
        <v>0.14871098936751298</v>
      </c>
      <c r="AB93" s="53">
        <f t="shared" si="51"/>
        <v>2.3893995942102846</v>
      </c>
      <c r="AC93" s="53">
        <f t="shared" si="52"/>
        <v>0.19964822637455942</v>
      </c>
      <c r="AD93" s="53">
        <f t="shared" si="53"/>
        <v>1.7677811823251552</v>
      </c>
      <c r="AE93" s="54">
        <f t="shared" si="54"/>
        <v>6.7014425039356942</v>
      </c>
    </row>
    <row r="94" spans="2:31" ht="15" customHeight="1" x14ac:dyDescent="0.3">
      <c r="B94" s="49">
        <f t="shared" si="56"/>
        <v>83</v>
      </c>
      <c r="C94" s="62" t="s">
        <v>373</v>
      </c>
      <c r="D94" s="112" t="s">
        <v>79</v>
      </c>
      <c r="E94" s="60" t="s">
        <v>199</v>
      </c>
      <c r="F94" s="39">
        <v>0.5</v>
      </c>
      <c r="G94" s="40">
        <v>6.8</v>
      </c>
      <c r="H94" s="40">
        <v>297</v>
      </c>
      <c r="I94" s="120">
        <f t="shared" si="40"/>
        <v>0.99639543813253484</v>
      </c>
      <c r="J94" s="42">
        <f t="shared" si="41"/>
        <v>0.14652874090184337</v>
      </c>
      <c r="K94" s="41">
        <f t="shared" si="42"/>
        <v>6.8245996918098113</v>
      </c>
      <c r="L94" s="43">
        <f t="shared" si="43"/>
        <v>0.34762933219143705</v>
      </c>
      <c r="M94" s="43">
        <f t="shared" si="44"/>
        <v>6.8</v>
      </c>
      <c r="N94" s="43">
        <f t="shared" si="45"/>
        <v>4.7075409673492459</v>
      </c>
      <c r="O94" s="43">
        <f t="shared" si="46"/>
        <v>20.391784080953073</v>
      </c>
      <c r="P94" s="44">
        <f t="shared" si="47"/>
        <v>6.8122887419946254</v>
      </c>
      <c r="Q94" s="45">
        <f t="shared" si="55"/>
        <v>7.3529411764705885E-2</v>
      </c>
      <c r="R94" s="52">
        <v>1</v>
      </c>
      <c r="S94" s="53">
        <v>3.9321400005324098E-3</v>
      </c>
      <c r="T94" s="53">
        <v>0.4549364250484666</v>
      </c>
      <c r="U94" s="53">
        <v>3.841459149489757</v>
      </c>
      <c r="V94" s="53">
        <f t="shared" si="48"/>
        <v>8.6432736180961992E-3</v>
      </c>
      <c r="W94" s="52">
        <f t="shared" si="49"/>
        <v>2</v>
      </c>
      <c r="X94" s="53">
        <v>0.10258658882167279</v>
      </c>
      <c r="Y94" s="53">
        <v>1.3862943760896287</v>
      </c>
      <c r="Z94" s="53">
        <v>5.9914645471914136</v>
      </c>
      <c r="AA94" s="53">
        <f t="shared" si="50"/>
        <v>7.4000580678284605E-2</v>
      </c>
      <c r="AB94" s="53">
        <f t="shared" si="51"/>
        <v>1.9927908762650697</v>
      </c>
      <c r="AC94" s="53">
        <f t="shared" si="52"/>
        <v>0.10187537669311984</v>
      </c>
      <c r="AD94" s="53">
        <f t="shared" si="53"/>
        <v>1.3795801013790616</v>
      </c>
      <c r="AE94" s="54">
        <f t="shared" si="54"/>
        <v>5.9759648922486139</v>
      </c>
    </row>
    <row r="95" spans="2:31" x14ac:dyDescent="0.3">
      <c r="B95" s="49">
        <f t="shared" si="56"/>
        <v>84</v>
      </c>
      <c r="C95" s="62" t="s">
        <v>373</v>
      </c>
      <c r="D95" s="112" t="s">
        <v>83</v>
      </c>
      <c r="E95" s="60" t="s">
        <v>362</v>
      </c>
      <c r="F95" s="39">
        <v>1</v>
      </c>
      <c r="G95" s="40">
        <v>5.3</v>
      </c>
      <c r="H95" s="40">
        <v>6</v>
      </c>
      <c r="I95" s="120">
        <f t="shared" ref="I95:I102" si="57">AB95/2</f>
        <v>1.8170973966824597</v>
      </c>
      <c r="J95" s="42">
        <f t="shared" ref="J95:J102" si="58">I95/G95</f>
        <v>0.34284856541178488</v>
      </c>
      <c r="K95" s="41">
        <f t="shared" ref="K95:K102" si="59">1/J95</f>
        <v>2.9167396363433249</v>
      </c>
      <c r="L95" s="43">
        <f t="shared" ref="L95:L102" si="60">1/2/J95*AC95</f>
        <v>0.84504372230143843</v>
      </c>
      <c r="M95" s="43">
        <f t="shared" ref="M95:M102" si="61">I95/J95</f>
        <v>5.3</v>
      </c>
      <c r="N95" s="43">
        <f t="shared" ref="N95:N102" si="62">1/2/J95*AD95</f>
        <v>4.3667725774667909</v>
      </c>
      <c r="O95" s="43">
        <f t="shared" ref="O95:O102" si="63">1/2/J95*AE95</f>
        <v>12.944106168190759</v>
      </c>
      <c r="P95" s="44">
        <f t="shared" ref="P95:P102" si="64">SQRT(M95/J95)</f>
        <v>3.9317578858087918</v>
      </c>
      <c r="Q95" s="45">
        <f t="shared" ref="Q95:Q102" si="65">F95/G95</f>
        <v>0.18867924528301888</v>
      </c>
      <c r="R95" s="52">
        <v>3</v>
      </c>
      <c r="S95" s="53">
        <v>0.35184631840544622</v>
      </c>
      <c r="T95" s="53">
        <v>2.3659738927290714</v>
      </c>
      <c r="U95" s="53">
        <v>7.81472776394987</v>
      </c>
      <c r="V95" s="53">
        <f t="shared" ref="V95:V102" si="66">S95/T95</f>
        <v>0.14871098936751298</v>
      </c>
      <c r="W95" s="52">
        <f t="shared" ref="W95:W102" si="67">R95+1</f>
        <v>4</v>
      </c>
      <c r="X95" s="53">
        <v>0.71072302281597644</v>
      </c>
      <c r="Y95" s="53">
        <v>3.3566940013967228</v>
      </c>
      <c r="Z95" s="53">
        <v>9.487729036988851</v>
      </c>
      <c r="AA95" s="53">
        <f t="shared" ref="AA95:AA102" si="68">X95/Y95</f>
        <v>0.21173303927025938</v>
      </c>
      <c r="AB95" s="53">
        <f t="shared" ref="AB95:AB102" si="69">(Q95-V95)/(AA95-V95)*(W95-R95)+R95</f>
        <v>3.6341947933649195</v>
      </c>
      <c r="AC95" s="53">
        <f t="shared" ref="AC95:AC102" si="70">(Q95-V95)/(AA95-V95)*(X95-S95)+S95</f>
        <v>0.57944405580256575</v>
      </c>
      <c r="AD95" s="53">
        <f t="shared" ref="AD95:AD102" si="71">(Q95-V95)/(AA95-V95)*(Y95-T95)+T95</f>
        <v>2.994283427328023</v>
      </c>
      <c r="AE95" s="54">
        <f t="shared" ref="AE95:AE102" si="72">(Q95-V95)/(AA95-V95)*(Z95-U95)+U95</f>
        <v>8.8757364606040738</v>
      </c>
    </row>
    <row r="96" spans="2:31" ht="15" customHeight="1" x14ac:dyDescent="0.3">
      <c r="B96" s="49">
        <f t="shared" si="56"/>
        <v>85</v>
      </c>
      <c r="C96" s="62" t="s">
        <v>373</v>
      </c>
      <c r="D96" s="112" t="s">
        <v>81</v>
      </c>
      <c r="E96" s="60" t="s">
        <v>200</v>
      </c>
      <c r="F96" s="39">
        <v>0.5</v>
      </c>
      <c r="G96" s="40">
        <v>6.8</v>
      </c>
      <c r="H96" s="40">
        <v>297</v>
      </c>
      <c r="I96" s="120">
        <f t="shared" si="57"/>
        <v>0.99639543813253484</v>
      </c>
      <c r="J96" s="42">
        <f t="shared" si="58"/>
        <v>0.14652874090184337</v>
      </c>
      <c r="K96" s="41">
        <f t="shared" si="59"/>
        <v>6.8245996918098113</v>
      </c>
      <c r="L96" s="43">
        <f t="shared" si="60"/>
        <v>0.34762933219143705</v>
      </c>
      <c r="M96" s="43">
        <f t="shared" si="61"/>
        <v>6.8</v>
      </c>
      <c r="N96" s="43">
        <f t="shared" si="62"/>
        <v>4.7075409673492459</v>
      </c>
      <c r="O96" s="43">
        <f t="shared" si="63"/>
        <v>20.391784080953073</v>
      </c>
      <c r="P96" s="44">
        <f t="shared" si="64"/>
        <v>6.8122887419946254</v>
      </c>
      <c r="Q96" s="45">
        <f t="shared" si="65"/>
        <v>7.3529411764705885E-2</v>
      </c>
      <c r="R96" s="52">
        <v>1</v>
      </c>
      <c r="S96" s="53">
        <v>3.9321400005324098E-3</v>
      </c>
      <c r="T96" s="53">
        <v>0.4549364250484666</v>
      </c>
      <c r="U96" s="53">
        <v>3.841459149489757</v>
      </c>
      <c r="V96" s="53">
        <f t="shared" si="66"/>
        <v>8.6432736180961992E-3</v>
      </c>
      <c r="W96" s="52">
        <f t="shared" si="67"/>
        <v>2</v>
      </c>
      <c r="X96" s="53">
        <v>0.10258658882167279</v>
      </c>
      <c r="Y96" s="53">
        <v>1.3862943760896287</v>
      </c>
      <c r="Z96" s="53">
        <v>5.9914645471914136</v>
      </c>
      <c r="AA96" s="53">
        <f t="shared" si="68"/>
        <v>7.4000580678284605E-2</v>
      </c>
      <c r="AB96" s="53">
        <f t="shared" si="69"/>
        <v>1.9927908762650697</v>
      </c>
      <c r="AC96" s="53">
        <f t="shared" si="70"/>
        <v>0.10187537669311984</v>
      </c>
      <c r="AD96" s="53">
        <f t="shared" si="71"/>
        <v>1.3795801013790616</v>
      </c>
      <c r="AE96" s="54">
        <f t="shared" si="72"/>
        <v>5.9759648922486139</v>
      </c>
    </row>
    <row r="97" spans="2:31" ht="15" customHeight="1" x14ac:dyDescent="0.3">
      <c r="B97" s="49">
        <f t="shared" si="56"/>
        <v>86</v>
      </c>
      <c r="C97" s="62" t="s">
        <v>373</v>
      </c>
      <c r="D97" s="112" t="s">
        <v>82</v>
      </c>
      <c r="E97" s="60" t="s">
        <v>201</v>
      </c>
      <c r="F97" s="39">
        <v>1</v>
      </c>
      <c r="G97" s="40">
        <v>4</v>
      </c>
      <c r="H97" s="40">
        <v>17</v>
      </c>
      <c r="I97" s="120">
        <f t="shared" si="57"/>
        <v>2.3714772644484672</v>
      </c>
      <c r="J97" s="42">
        <f t="shared" si="58"/>
        <v>0.5928693161121168</v>
      </c>
      <c r="K97" s="41">
        <f t="shared" si="59"/>
        <v>1.6867123543477349</v>
      </c>
      <c r="L97" s="43">
        <f t="shared" si="60"/>
        <v>0.87179826746217948</v>
      </c>
      <c r="M97" s="43">
        <f t="shared" si="61"/>
        <v>4</v>
      </c>
      <c r="N97" s="43">
        <f t="shared" si="62"/>
        <v>3.4541845554826032</v>
      </c>
      <c r="O97" s="43">
        <f t="shared" si="63"/>
        <v>8.993258661015533</v>
      </c>
      <c r="P97" s="44">
        <f t="shared" si="64"/>
        <v>2.5974698106794119</v>
      </c>
      <c r="Q97" s="45">
        <f t="shared" si="65"/>
        <v>0.25</v>
      </c>
      <c r="R97" s="52">
        <v>4</v>
      </c>
      <c r="S97" s="53">
        <v>0.71072302281597644</v>
      </c>
      <c r="T97" s="53">
        <v>3.3566940013967228</v>
      </c>
      <c r="U97" s="53">
        <v>9.487729036988851</v>
      </c>
      <c r="V97" s="53">
        <f t="shared" si="66"/>
        <v>0.21173303927025938</v>
      </c>
      <c r="W97" s="52">
        <f t="shared" si="67"/>
        <v>5</v>
      </c>
      <c r="X97" s="53">
        <v>1.1454762275641139</v>
      </c>
      <c r="Y97" s="53">
        <v>4.3514602221082166</v>
      </c>
      <c r="Z97" s="53">
        <v>11.070497754622684</v>
      </c>
      <c r="AA97" s="53">
        <f t="shared" si="68"/>
        <v>0.26323950331531426</v>
      </c>
      <c r="AB97" s="53">
        <f t="shared" si="69"/>
        <v>4.7429545288969344</v>
      </c>
      <c r="AC97" s="53">
        <f t="shared" si="70"/>
        <v>1.0337248852360612</v>
      </c>
      <c r="AD97" s="53">
        <f t="shared" si="71"/>
        <v>4.0957600702680139</v>
      </c>
      <c r="AE97" s="54">
        <f t="shared" si="72"/>
        <v>10.663654223951299</v>
      </c>
    </row>
    <row r="98" spans="2:31" ht="15" customHeight="1" x14ac:dyDescent="0.3">
      <c r="B98" s="49">
        <f t="shared" si="56"/>
        <v>87</v>
      </c>
      <c r="C98" s="62" t="s">
        <v>373</v>
      </c>
      <c r="D98" s="112" t="s">
        <v>84</v>
      </c>
      <c r="E98" s="60" t="s">
        <v>202</v>
      </c>
      <c r="F98" s="39">
        <v>1</v>
      </c>
      <c r="G98" s="40">
        <v>9.6999999999999993</v>
      </c>
      <c r="H98" s="40">
        <v>36</v>
      </c>
      <c r="I98" s="120">
        <f t="shared" si="57"/>
        <v>1.1946997971051423</v>
      </c>
      <c r="J98" s="42">
        <f t="shared" si="58"/>
        <v>0.12316492753661262</v>
      </c>
      <c r="K98" s="41">
        <f t="shared" si="59"/>
        <v>8.119194481746721</v>
      </c>
      <c r="L98" s="43">
        <f t="shared" si="60"/>
        <v>0.8104913889354215</v>
      </c>
      <c r="M98" s="43">
        <f t="shared" si="61"/>
        <v>9.6999999999999993</v>
      </c>
      <c r="N98" s="43">
        <f t="shared" si="62"/>
        <v>7.176479610235047</v>
      </c>
      <c r="O98" s="43">
        <f t="shared" si="63"/>
        <v>27.205157498848809</v>
      </c>
      <c r="P98" s="44">
        <f t="shared" si="64"/>
        <v>8.8744682360659333</v>
      </c>
      <c r="Q98" s="45">
        <f t="shared" si="65"/>
        <v>0.10309278350515465</v>
      </c>
      <c r="R98" s="52">
        <v>2</v>
      </c>
      <c r="S98" s="53">
        <v>0.10258658882167279</v>
      </c>
      <c r="T98" s="53">
        <v>1.3862943760896287</v>
      </c>
      <c r="U98" s="53">
        <v>5.9914645471914136</v>
      </c>
      <c r="V98" s="53">
        <f t="shared" si="66"/>
        <v>7.4000580678284605E-2</v>
      </c>
      <c r="W98" s="52">
        <f t="shared" si="67"/>
        <v>3</v>
      </c>
      <c r="X98" s="53">
        <v>0.35184631840544622</v>
      </c>
      <c r="Y98" s="53">
        <v>2.3659738927290714</v>
      </c>
      <c r="Z98" s="53">
        <v>7.81472776394987</v>
      </c>
      <c r="AA98" s="53">
        <f t="shared" si="68"/>
        <v>0.14871098936751298</v>
      </c>
      <c r="AB98" s="53">
        <f t="shared" si="69"/>
        <v>2.3893995942102846</v>
      </c>
      <c r="AC98" s="53">
        <f t="shared" si="70"/>
        <v>0.19964822637455942</v>
      </c>
      <c r="AD98" s="53">
        <f t="shared" si="71"/>
        <v>1.7677811823251552</v>
      </c>
      <c r="AE98" s="54">
        <f t="shared" si="72"/>
        <v>6.7014425039356942</v>
      </c>
    </row>
    <row r="99" spans="2:31" ht="15" customHeight="1" x14ac:dyDescent="0.3">
      <c r="B99" s="49">
        <f t="shared" si="56"/>
        <v>88</v>
      </c>
      <c r="C99" s="62" t="s">
        <v>373</v>
      </c>
      <c r="D99" s="112" t="s">
        <v>85</v>
      </c>
      <c r="E99" s="60" t="s">
        <v>203</v>
      </c>
      <c r="F99" s="39">
        <v>0.5</v>
      </c>
      <c r="G99" s="40">
        <v>6.8</v>
      </c>
      <c r="H99" s="40">
        <v>297</v>
      </c>
      <c r="I99" s="120">
        <f t="shared" si="57"/>
        <v>0.99639543813253484</v>
      </c>
      <c r="J99" s="42">
        <f t="shared" si="58"/>
        <v>0.14652874090184337</v>
      </c>
      <c r="K99" s="41">
        <f t="shared" si="59"/>
        <v>6.8245996918098113</v>
      </c>
      <c r="L99" s="43">
        <f t="shared" si="60"/>
        <v>0.34762933219143705</v>
      </c>
      <c r="M99" s="43">
        <f t="shared" si="61"/>
        <v>6.8</v>
      </c>
      <c r="N99" s="43">
        <f t="shared" si="62"/>
        <v>4.7075409673492459</v>
      </c>
      <c r="O99" s="43">
        <f t="shared" si="63"/>
        <v>20.391784080953073</v>
      </c>
      <c r="P99" s="44">
        <f t="shared" si="64"/>
        <v>6.8122887419946254</v>
      </c>
      <c r="Q99" s="45">
        <f t="shared" si="65"/>
        <v>7.3529411764705885E-2</v>
      </c>
      <c r="R99" s="52">
        <v>1</v>
      </c>
      <c r="S99" s="53">
        <v>3.9321400005324098E-3</v>
      </c>
      <c r="T99" s="53">
        <v>0.4549364250484666</v>
      </c>
      <c r="U99" s="53">
        <v>3.841459149489757</v>
      </c>
      <c r="V99" s="53">
        <f t="shared" si="66"/>
        <v>8.6432736180961992E-3</v>
      </c>
      <c r="W99" s="52">
        <f t="shared" si="67"/>
        <v>2</v>
      </c>
      <c r="X99" s="53">
        <v>0.10258658882167279</v>
      </c>
      <c r="Y99" s="53">
        <v>1.3862943760896287</v>
      </c>
      <c r="Z99" s="53">
        <v>5.9914645471914136</v>
      </c>
      <c r="AA99" s="53">
        <f t="shared" si="68"/>
        <v>7.4000580678284605E-2</v>
      </c>
      <c r="AB99" s="53">
        <f t="shared" si="69"/>
        <v>1.9927908762650697</v>
      </c>
      <c r="AC99" s="53">
        <f t="shared" si="70"/>
        <v>0.10187537669311984</v>
      </c>
      <c r="AD99" s="53">
        <f t="shared" si="71"/>
        <v>1.3795801013790616</v>
      </c>
      <c r="AE99" s="54">
        <f t="shared" si="72"/>
        <v>5.9759648922486139</v>
      </c>
    </row>
    <row r="100" spans="2:31" ht="15" customHeight="1" x14ac:dyDescent="0.3">
      <c r="B100" s="49">
        <f t="shared" si="56"/>
        <v>89</v>
      </c>
      <c r="C100" s="62" t="s">
        <v>373</v>
      </c>
      <c r="D100" s="112" t="s">
        <v>86</v>
      </c>
      <c r="E100" s="60" t="s">
        <v>204</v>
      </c>
      <c r="F100" s="39">
        <v>0.5</v>
      </c>
      <c r="G100" s="40">
        <v>6.8</v>
      </c>
      <c r="H100" s="40">
        <v>297</v>
      </c>
      <c r="I100" s="120">
        <f t="shared" si="57"/>
        <v>0.99639543813253484</v>
      </c>
      <c r="J100" s="42">
        <f t="shared" si="58"/>
        <v>0.14652874090184337</v>
      </c>
      <c r="K100" s="41">
        <f t="shared" si="59"/>
        <v>6.8245996918098113</v>
      </c>
      <c r="L100" s="43">
        <f t="shared" si="60"/>
        <v>0.34762933219143705</v>
      </c>
      <c r="M100" s="43">
        <f t="shared" si="61"/>
        <v>6.8</v>
      </c>
      <c r="N100" s="43">
        <f t="shared" si="62"/>
        <v>4.7075409673492459</v>
      </c>
      <c r="O100" s="43">
        <f t="shared" si="63"/>
        <v>20.391784080953073</v>
      </c>
      <c r="P100" s="44">
        <f t="shared" si="64"/>
        <v>6.8122887419946254</v>
      </c>
      <c r="Q100" s="45">
        <f t="shared" si="65"/>
        <v>7.3529411764705885E-2</v>
      </c>
      <c r="R100" s="52">
        <v>1</v>
      </c>
      <c r="S100" s="53">
        <v>3.9321400005324098E-3</v>
      </c>
      <c r="T100" s="53">
        <v>0.4549364250484666</v>
      </c>
      <c r="U100" s="53">
        <v>3.841459149489757</v>
      </c>
      <c r="V100" s="53">
        <f t="shared" si="66"/>
        <v>8.6432736180961992E-3</v>
      </c>
      <c r="W100" s="52">
        <f t="shared" si="67"/>
        <v>2</v>
      </c>
      <c r="X100" s="53">
        <v>0.10258658882167279</v>
      </c>
      <c r="Y100" s="53">
        <v>1.3862943760896287</v>
      </c>
      <c r="Z100" s="53">
        <v>5.9914645471914136</v>
      </c>
      <c r="AA100" s="53">
        <f t="shared" si="68"/>
        <v>7.4000580678284605E-2</v>
      </c>
      <c r="AB100" s="53">
        <f t="shared" si="69"/>
        <v>1.9927908762650697</v>
      </c>
      <c r="AC100" s="53">
        <f t="shared" si="70"/>
        <v>0.10187537669311984</v>
      </c>
      <c r="AD100" s="53">
        <f t="shared" si="71"/>
        <v>1.3795801013790616</v>
      </c>
      <c r="AE100" s="54">
        <f t="shared" si="72"/>
        <v>5.9759648922486139</v>
      </c>
    </row>
    <row r="101" spans="2:31" x14ac:dyDescent="0.3">
      <c r="B101" s="49">
        <f t="shared" si="56"/>
        <v>90</v>
      </c>
      <c r="C101" s="62" t="s">
        <v>373</v>
      </c>
      <c r="D101" s="112" t="s">
        <v>87</v>
      </c>
      <c r="E101" s="60" t="s">
        <v>362</v>
      </c>
      <c r="F101" s="39">
        <v>1</v>
      </c>
      <c r="G101" s="40">
        <v>5.3</v>
      </c>
      <c r="H101" s="40">
        <v>6</v>
      </c>
      <c r="I101" s="120">
        <f t="shared" si="57"/>
        <v>1.8170973966824597</v>
      </c>
      <c r="J101" s="42">
        <f t="shared" si="58"/>
        <v>0.34284856541178488</v>
      </c>
      <c r="K101" s="41">
        <f t="shared" si="59"/>
        <v>2.9167396363433249</v>
      </c>
      <c r="L101" s="43">
        <f t="shared" si="60"/>
        <v>0.84504372230143843</v>
      </c>
      <c r="M101" s="43">
        <f t="shared" si="61"/>
        <v>5.3</v>
      </c>
      <c r="N101" s="43">
        <f t="shared" si="62"/>
        <v>4.3667725774667909</v>
      </c>
      <c r="O101" s="43">
        <f t="shared" si="63"/>
        <v>12.944106168190759</v>
      </c>
      <c r="P101" s="44">
        <f t="shared" si="64"/>
        <v>3.9317578858087918</v>
      </c>
      <c r="Q101" s="45">
        <f t="shared" si="65"/>
        <v>0.18867924528301888</v>
      </c>
      <c r="R101" s="52">
        <v>3</v>
      </c>
      <c r="S101" s="53">
        <v>0.35184631840544622</v>
      </c>
      <c r="T101" s="53">
        <v>2.3659738927290714</v>
      </c>
      <c r="U101" s="53">
        <v>7.81472776394987</v>
      </c>
      <c r="V101" s="53">
        <f t="shared" si="66"/>
        <v>0.14871098936751298</v>
      </c>
      <c r="W101" s="52">
        <f t="shared" si="67"/>
        <v>4</v>
      </c>
      <c r="X101" s="53">
        <v>0.71072302281597644</v>
      </c>
      <c r="Y101" s="53">
        <v>3.3566940013967228</v>
      </c>
      <c r="Z101" s="53">
        <v>9.487729036988851</v>
      </c>
      <c r="AA101" s="53">
        <f t="shared" si="68"/>
        <v>0.21173303927025938</v>
      </c>
      <c r="AB101" s="53">
        <f t="shared" si="69"/>
        <v>3.6341947933649195</v>
      </c>
      <c r="AC101" s="53">
        <f t="shared" si="70"/>
        <v>0.57944405580256575</v>
      </c>
      <c r="AD101" s="53">
        <f t="shared" si="71"/>
        <v>2.994283427328023</v>
      </c>
      <c r="AE101" s="54">
        <f t="shared" si="72"/>
        <v>8.8757364606040738</v>
      </c>
    </row>
    <row r="102" spans="2:31" ht="15" customHeight="1" x14ac:dyDescent="0.3">
      <c r="B102" s="49">
        <f t="shared" si="56"/>
        <v>91</v>
      </c>
      <c r="C102" s="62" t="s">
        <v>373</v>
      </c>
      <c r="D102" s="112" t="s">
        <v>88</v>
      </c>
      <c r="E102" s="60" t="s">
        <v>205</v>
      </c>
      <c r="F102" s="39">
        <v>1</v>
      </c>
      <c r="G102" s="40">
        <v>4</v>
      </c>
      <c r="H102" s="40">
        <v>17</v>
      </c>
      <c r="I102" s="120">
        <f t="shared" si="57"/>
        <v>2.3714772644484672</v>
      </c>
      <c r="J102" s="42">
        <f t="shared" si="58"/>
        <v>0.5928693161121168</v>
      </c>
      <c r="K102" s="41">
        <f t="shared" si="59"/>
        <v>1.6867123543477349</v>
      </c>
      <c r="L102" s="43">
        <f t="shared" si="60"/>
        <v>0.87179826746217948</v>
      </c>
      <c r="M102" s="43">
        <f t="shared" si="61"/>
        <v>4</v>
      </c>
      <c r="N102" s="43">
        <f t="shared" si="62"/>
        <v>3.4541845554826032</v>
      </c>
      <c r="O102" s="43">
        <f t="shared" si="63"/>
        <v>8.993258661015533</v>
      </c>
      <c r="P102" s="44">
        <f t="shared" si="64"/>
        <v>2.5974698106794119</v>
      </c>
      <c r="Q102" s="45">
        <f t="shared" si="65"/>
        <v>0.25</v>
      </c>
      <c r="R102" s="52">
        <v>4</v>
      </c>
      <c r="S102" s="53">
        <v>0.71072302281597644</v>
      </c>
      <c r="T102" s="53">
        <v>3.3566940013967228</v>
      </c>
      <c r="U102" s="53">
        <v>9.487729036988851</v>
      </c>
      <c r="V102" s="53">
        <f t="shared" si="66"/>
        <v>0.21173303927025938</v>
      </c>
      <c r="W102" s="52">
        <f t="shared" si="67"/>
        <v>5</v>
      </c>
      <c r="X102" s="53">
        <v>1.1454762275641139</v>
      </c>
      <c r="Y102" s="53">
        <v>4.3514602221082166</v>
      </c>
      <c r="Z102" s="53">
        <v>11.070497754622684</v>
      </c>
      <c r="AA102" s="53">
        <f t="shared" si="68"/>
        <v>0.26323950331531426</v>
      </c>
      <c r="AB102" s="53">
        <f t="shared" si="69"/>
        <v>4.7429545288969344</v>
      </c>
      <c r="AC102" s="53">
        <f t="shared" si="70"/>
        <v>1.0337248852360612</v>
      </c>
      <c r="AD102" s="53">
        <f t="shared" si="71"/>
        <v>4.0957600702680139</v>
      </c>
      <c r="AE102" s="54">
        <f t="shared" si="72"/>
        <v>10.663654223951299</v>
      </c>
    </row>
    <row r="103" spans="2:31" ht="15" customHeight="1" x14ac:dyDescent="0.3">
      <c r="B103" s="49">
        <f t="shared" si="56"/>
        <v>92</v>
      </c>
      <c r="C103" s="62" t="s">
        <v>373</v>
      </c>
      <c r="D103" s="112" t="s">
        <v>244</v>
      </c>
      <c r="E103" s="60" t="s">
        <v>208</v>
      </c>
      <c r="F103" s="39">
        <v>1</v>
      </c>
      <c r="G103" s="40">
        <v>9.6999999999999993</v>
      </c>
      <c r="H103" s="40">
        <v>36</v>
      </c>
      <c r="I103" s="120">
        <f t="shared" ref="I103" si="73">AB103/2</f>
        <v>1.1946997971051423</v>
      </c>
      <c r="J103" s="42">
        <f t="shared" ref="J103" si="74">I103/G103</f>
        <v>0.12316492753661262</v>
      </c>
      <c r="K103" s="41">
        <f t="shared" ref="K103" si="75">1/J103</f>
        <v>8.119194481746721</v>
      </c>
      <c r="L103" s="43">
        <f t="shared" ref="L103" si="76">1/2/J103*AC103</f>
        <v>0.8104913889354215</v>
      </c>
      <c r="M103" s="43">
        <f t="shared" ref="M103" si="77">I103/J103</f>
        <v>9.6999999999999993</v>
      </c>
      <c r="N103" s="43">
        <f t="shared" ref="N103" si="78">1/2/J103*AD103</f>
        <v>7.176479610235047</v>
      </c>
      <c r="O103" s="43">
        <f t="shared" ref="O103" si="79">1/2/J103*AE103</f>
        <v>27.205157498848809</v>
      </c>
      <c r="P103" s="44">
        <f t="shared" ref="P103" si="80">SQRT(M103/J103)</f>
        <v>8.8744682360659333</v>
      </c>
      <c r="Q103" s="45">
        <f t="shared" ref="Q103" si="81">F103/G103</f>
        <v>0.10309278350515465</v>
      </c>
      <c r="R103" s="52">
        <v>2</v>
      </c>
      <c r="S103" s="53">
        <v>0.10258658882167279</v>
      </c>
      <c r="T103" s="53">
        <v>1.3862943760896287</v>
      </c>
      <c r="U103" s="53">
        <v>5.9914645471914136</v>
      </c>
      <c r="V103" s="53">
        <f t="shared" ref="V103" si="82">S103/T103</f>
        <v>7.4000580678284605E-2</v>
      </c>
      <c r="W103" s="52">
        <f t="shared" ref="W103" si="83">R103+1</f>
        <v>3</v>
      </c>
      <c r="X103" s="53">
        <v>0.35184631840544622</v>
      </c>
      <c r="Y103" s="53">
        <v>2.3659738927290714</v>
      </c>
      <c r="Z103" s="53">
        <v>7.81472776394987</v>
      </c>
      <c r="AA103" s="53">
        <f t="shared" ref="AA103" si="84">X103/Y103</f>
        <v>0.14871098936751298</v>
      </c>
      <c r="AB103" s="53">
        <f t="shared" ref="AB103" si="85">(Q103-V103)/(AA103-V103)*(W103-R103)+R103</f>
        <v>2.3893995942102846</v>
      </c>
      <c r="AC103" s="53">
        <f t="shared" ref="AC103" si="86">(Q103-V103)/(AA103-V103)*(X103-S103)+S103</f>
        <v>0.19964822637455942</v>
      </c>
      <c r="AD103" s="53">
        <f t="shared" ref="AD103" si="87">(Q103-V103)/(AA103-V103)*(Y103-T103)+T103</f>
        <v>1.7677811823251552</v>
      </c>
      <c r="AE103" s="54">
        <f t="shared" ref="AE103" si="88">(Q103-V103)/(AA103-V103)*(Z103-U103)+U103</f>
        <v>6.7014425039356942</v>
      </c>
    </row>
    <row r="104" spans="2:31" ht="15" customHeight="1" x14ac:dyDescent="0.3">
      <c r="B104" s="49">
        <f t="shared" si="56"/>
        <v>93</v>
      </c>
      <c r="C104" s="62" t="s">
        <v>373</v>
      </c>
      <c r="D104" s="112" t="s">
        <v>89</v>
      </c>
      <c r="E104" s="60" t="s">
        <v>207</v>
      </c>
      <c r="F104" s="39">
        <v>0.5</v>
      </c>
      <c r="G104" s="40">
        <v>6.8</v>
      </c>
      <c r="H104" s="40">
        <v>297</v>
      </c>
      <c r="I104" s="120">
        <f t="shared" ref="I104:I111" si="89">AB104/2</f>
        <v>0.99639543813253484</v>
      </c>
      <c r="J104" s="42">
        <f t="shared" ref="J104:J111" si="90">I104/G104</f>
        <v>0.14652874090184337</v>
      </c>
      <c r="K104" s="41">
        <f t="shared" ref="K104:K111" si="91">1/J104</f>
        <v>6.8245996918098113</v>
      </c>
      <c r="L104" s="43">
        <f t="shared" ref="L104:L111" si="92">1/2/J104*AC104</f>
        <v>0.34762933219143705</v>
      </c>
      <c r="M104" s="43">
        <f t="shared" ref="M104:M111" si="93">I104/J104</f>
        <v>6.8</v>
      </c>
      <c r="N104" s="43">
        <f t="shared" ref="N104:N111" si="94">1/2/J104*AD104</f>
        <v>4.7075409673492459</v>
      </c>
      <c r="O104" s="43">
        <f t="shared" ref="O104:O111" si="95">1/2/J104*AE104</f>
        <v>20.391784080953073</v>
      </c>
      <c r="P104" s="44">
        <f t="shared" ref="P104:P111" si="96">SQRT(M104/J104)</f>
        <v>6.8122887419946254</v>
      </c>
      <c r="Q104" s="45">
        <f t="shared" ref="Q104:Q111" si="97">F104/G104</f>
        <v>7.3529411764705885E-2</v>
      </c>
      <c r="R104" s="52">
        <v>1</v>
      </c>
      <c r="S104" s="53">
        <v>3.9321400005324098E-3</v>
      </c>
      <c r="T104" s="53">
        <v>0.4549364250484666</v>
      </c>
      <c r="U104" s="53">
        <v>3.841459149489757</v>
      </c>
      <c r="V104" s="53">
        <f t="shared" ref="V104:V111" si="98">S104/T104</f>
        <v>8.6432736180961992E-3</v>
      </c>
      <c r="W104" s="52">
        <f t="shared" ref="W104:W111" si="99">R104+1</f>
        <v>2</v>
      </c>
      <c r="X104" s="53">
        <v>0.10258658882167279</v>
      </c>
      <c r="Y104" s="53">
        <v>1.3862943760896287</v>
      </c>
      <c r="Z104" s="53">
        <v>5.9914645471914136</v>
      </c>
      <c r="AA104" s="53">
        <f t="shared" ref="AA104:AA111" si="100">X104/Y104</f>
        <v>7.4000580678284605E-2</v>
      </c>
      <c r="AB104" s="53">
        <f t="shared" ref="AB104:AB111" si="101">(Q104-V104)/(AA104-V104)*(W104-R104)+R104</f>
        <v>1.9927908762650697</v>
      </c>
      <c r="AC104" s="53">
        <f t="shared" ref="AC104:AC111" si="102">(Q104-V104)/(AA104-V104)*(X104-S104)+S104</f>
        <v>0.10187537669311984</v>
      </c>
      <c r="AD104" s="53">
        <f t="shared" ref="AD104:AD111" si="103">(Q104-V104)/(AA104-V104)*(Y104-T104)+T104</f>
        <v>1.3795801013790616</v>
      </c>
      <c r="AE104" s="54">
        <f t="shared" ref="AE104:AE111" si="104">(Q104-V104)/(AA104-V104)*(Z104-U104)+U104</f>
        <v>5.9759648922486139</v>
      </c>
    </row>
    <row r="105" spans="2:31" ht="15" customHeight="1" x14ac:dyDescent="0.3">
      <c r="B105" s="49">
        <f t="shared" si="56"/>
        <v>94</v>
      </c>
      <c r="C105" s="62" t="s">
        <v>373</v>
      </c>
      <c r="D105" s="112" t="s">
        <v>90</v>
      </c>
      <c r="E105" s="60" t="s">
        <v>208</v>
      </c>
      <c r="F105" s="39">
        <v>0.5</v>
      </c>
      <c r="G105" s="40">
        <v>6.8</v>
      </c>
      <c r="H105" s="40">
        <v>297</v>
      </c>
      <c r="I105" s="120">
        <f t="shared" si="89"/>
        <v>0.99639543813253484</v>
      </c>
      <c r="J105" s="42">
        <f t="shared" si="90"/>
        <v>0.14652874090184337</v>
      </c>
      <c r="K105" s="41">
        <f t="shared" si="91"/>
        <v>6.8245996918098113</v>
      </c>
      <c r="L105" s="43">
        <f t="shared" si="92"/>
        <v>0.34762933219143705</v>
      </c>
      <c r="M105" s="43">
        <f t="shared" si="93"/>
        <v>6.8</v>
      </c>
      <c r="N105" s="43">
        <f t="shared" si="94"/>
        <v>4.7075409673492459</v>
      </c>
      <c r="O105" s="43">
        <f t="shared" si="95"/>
        <v>20.391784080953073</v>
      </c>
      <c r="P105" s="44">
        <f t="shared" si="96"/>
        <v>6.8122887419946254</v>
      </c>
      <c r="Q105" s="45">
        <f t="shared" si="97"/>
        <v>7.3529411764705885E-2</v>
      </c>
      <c r="R105" s="52">
        <v>1</v>
      </c>
      <c r="S105" s="53">
        <v>3.9321400005324098E-3</v>
      </c>
      <c r="T105" s="53">
        <v>0.4549364250484666</v>
      </c>
      <c r="U105" s="53">
        <v>3.841459149489757</v>
      </c>
      <c r="V105" s="53">
        <f t="shared" si="98"/>
        <v>8.6432736180961992E-3</v>
      </c>
      <c r="W105" s="52">
        <f t="shared" si="99"/>
        <v>2</v>
      </c>
      <c r="X105" s="53">
        <v>0.10258658882167279</v>
      </c>
      <c r="Y105" s="53">
        <v>1.3862943760896287</v>
      </c>
      <c r="Z105" s="53">
        <v>5.9914645471914136</v>
      </c>
      <c r="AA105" s="53">
        <f t="shared" si="100"/>
        <v>7.4000580678284605E-2</v>
      </c>
      <c r="AB105" s="53">
        <f t="shared" si="101"/>
        <v>1.9927908762650697</v>
      </c>
      <c r="AC105" s="53">
        <f t="shared" si="102"/>
        <v>0.10187537669311984</v>
      </c>
      <c r="AD105" s="53">
        <f t="shared" si="103"/>
        <v>1.3795801013790616</v>
      </c>
      <c r="AE105" s="54">
        <f t="shared" si="104"/>
        <v>5.9759648922486139</v>
      </c>
    </row>
    <row r="106" spans="2:31" x14ac:dyDescent="0.3">
      <c r="B106" s="49">
        <f t="shared" si="56"/>
        <v>95</v>
      </c>
      <c r="C106" s="62" t="s">
        <v>373</v>
      </c>
      <c r="D106" s="112" t="s">
        <v>91</v>
      </c>
      <c r="E106" s="60" t="s">
        <v>362</v>
      </c>
      <c r="F106" s="39">
        <v>1</v>
      </c>
      <c r="G106" s="40">
        <v>5.3</v>
      </c>
      <c r="H106" s="40">
        <v>6</v>
      </c>
      <c r="I106" s="120">
        <f t="shared" si="89"/>
        <v>1.8170973966824597</v>
      </c>
      <c r="J106" s="42">
        <f t="shared" si="90"/>
        <v>0.34284856541178488</v>
      </c>
      <c r="K106" s="41">
        <f t="shared" si="91"/>
        <v>2.9167396363433249</v>
      </c>
      <c r="L106" s="43">
        <f t="shared" si="92"/>
        <v>0.84504372230143843</v>
      </c>
      <c r="M106" s="43">
        <f t="shared" si="93"/>
        <v>5.3</v>
      </c>
      <c r="N106" s="43">
        <f t="shared" si="94"/>
        <v>4.3667725774667909</v>
      </c>
      <c r="O106" s="43">
        <f t="shared" si="95"/>
        <v>12.944106168190759</v>
      </c>
      <c r="P106" s="44">
        <f t="shared" si="96"/>
        <v>3.9317578858087918</v>
      </c>
      <c r="Q106" s="45">
        <f t="shared" si="97"/>
        <v>0.18867924528301888</v>
      </c>
      <c r="R106" s="52">
        <v>3</v>
      </c>
      <c r="S106" s="53">
        <v>0.35184631840544622</v>
      </c>
      <c r="T106" s="53">
        <v>2.3659738927290714</v>
      </c>
      <c r="U106" s="53">
        <v>7.81472776394987</v>
      </c>
      <c r="V106" s="53">
        <f t="shared" si="98"/>
        <v>0.14871098936751298</v>
      </c>
      <c r="W106" s="52">
        <f t="shared" si="99"/>
        <v>4</v>
      </c>
      <c r="X106" s="53">
        <v>0.71072302281597644</v>
      </c>
      <c r="Y106" s="53">
        <v>3.3566940013967228</v>
      </c>
      <c r="Z106" s="53">
        <v>9.487729036988851</v>
      </c>
      <c r="AA106" s="53">
        <f t="shared" si="100"/>
        <v>0.21173303927025938</v>
      </c>
      <c r="AB106" s="53">
        <f t="shared" si="101"/>
        <v>3.6341947933649195</v>
      </c>
      <c r="AC106" s="53">
        <f t="shared" si="102"/>
        <v>0.57944405580256575</v>
      </c>
      <c r="AD106" s="53">
        <f t="shared" si="103"/>
        <v>2.994283427328023</v>
      </c>
      <c r="AE106" s="54">
        <f t="shared" si="104"/>
        <v>8.8757364606040738</v>
      </c>
    </row>
    <row r="107" spans="2:31" ht="15" customHeight="1" x14ac:dyDescent="0.3">
      <c r="B107" s="49">
        <f t="shared" si="56"/>
        <v>96</v>
      </c>
      <c r="C107" s="62" t="s">
        <v>373</v>
      </c>
      <c r="D107" s="112" t="s">
        <v>92</v>
      </c>
      <c r="E107" s="60" t="s">
        <v>209</v>
      </c>
      <c r="F107" s="39">
        <v>1</v>
      </c>
      <c r="G107" s="40">
        <v>4</v>
      </c>
      <c r="H107" s="40">
        <v>17</v>
      </c>
      <c r="I107" s="120">
        <f t="shared" si="89"/>
        <v>2.3714772644484672</v>
      </c>
      <c r="J107" s="42">
        <f t="shared" si="90"/>
        <v>0.5928693161121168</v>
      </c>
      <c r="K107" s="41">
        <f t="shared" si="91"/>
        <v>1.6867123543477349</v>
      </c>
      <c r="L107" s="43">
        <f t="shared" si="92"/>
        <v>0.87179826746217948</v>
      </c>
      <c r="M107" s="43">
        <f t="shared" si="93"/>
        <v>4</v>
      </c>
      <c r="N107" s="43">
        <f t="shared" si="94"/>
        <v>3.4541845554826032</v>
      </c>
      <c r="O107" s="43">
        <f t="shared" si="95"/>
        <v>8.993258661015533</v>
      </c>
      <c r="P107" s="44">
        <f t="shared" si="96"/>
        <v>2.5974698106794119</v>
      </c>
      <c r="Q107" s="45">
        <f t="shared" si="97"/>
        <v>0.25</v>
      </c>
      <c r="R107" s="52">
        <v>4</v>
      </c>
      <c r="S107" s="53">
        <v>0.71072302281597644</v>
      </c>
      <c r="T107" s="53">
        <v>3.3566940013967228</v>
      </c>
      <c r="U107" s="53">
        <v>9.487729036988851</v>
      </c>
      <c r="V107" s="53">
        <f t="shared" si="98"/>
        <v>0.21173303927025938</v>
      </c>
      <c r="W107" s="52">
        <f t="shared" si="99"/>
        <v>5</v>
      </c>
      <c r="X107" s="53">
        <v>1.1454762275641139</v>
      </c>
      <c r="Y107" s="53">
        <v>4.3514602221082166</v>
      </c>
      <c r="Z107" s="53">
        <v>11.070497754622684</v>
      </c>
      <c r="AA107" s="53">
        <f t="shared" si="100"/>
        <v>0.26323950331531426</v>
      </c>
      <c r="AB107" s="53">
        <f t="shared" si="101"/>
        <v>4.7429545288969344</v>
      </c>
      <c r="AC107" s="53">
        <f t="shared" si="102"/>
        <v>1.0337248852360612</v>
      </c>
      <c r="AD107" s="53">
        <f t="shared" si="103"/>
        <v>4.0957600702680139</v>
      </c>
      <c r="AE107" s="54">
        <f t="shared" si="104"/>
        <v>10.663654223951299</v>
      </c>
    </row>
    <row r="108" spans="2:31" ht="15" customHeight="1" x14ac:dyDescent="0.3">
      <c r="B108" s="49">
        <f t="shared" si="56"/>
        <v>97</v>
      </c>
      <c r="C108" s="62" t="s">
        <v>373</v>
      </c>
      <c r="D108" s="112" t="s">
        <v>93</v>
      </c>
      <c r="E108" s="60" t="s">
        <v>187</v>
      </c>
      <c r="F108" s="39">
        <v>1</v>
      </c>
      <c r="G108" s="40">
        <v>3.1</v>
      </c>
      <c r="H108" s="40">
        <v>6</v>
      </c>
      <c r="I108" s="120">
        <f t="shared" si="89"/>
        <v>3.2348589594942467</v>
      </c>
      <c r="J108" s="42">
        <f t="shared" si="90"/>
        <v>1.0435028901594343</v>
      </c>
      <c r="K108" s="41">
        <f t="shared" si="91"/>
        <v>0.9583107142589824</v>
      </c>
      <c r="L108" s="43">
        <f t="shared" si="92"/>
        <v>0.9033311533281102</v>
      </c>
      <c r="M108" s="43">
        <f t="shared" si="93"/>
        <v>3.1000000000000005</v>
      </c>
      <c r="N108" s="43">
        <f t="shared" si="94"/>
        <v>2.7871288222681176</v>
      </c>
      <c r="O108" s="43">
        <f t="shared" si="95"/>
        <v>6.365426077212649</v>
      </c>
      <c r="P108" s="44">
        <f t="shared" si="96"/>
        <v>1.7235902106367529</v>
      </c>
      <c r="Q108" s="45">
        <f t="shared" si="97"/>
        <v>0.32258064516129031</v>
      </c>
      <c r="R108" s="52">
        <v>6</v>
      </c>
      <c r="S108" s="53">
        <v>1.6353828954369192</v>
      </c>
      <c r="T108" s="53">
        <v>5.3481208434097312</v>
      </c>
      <c r="U108" s="53">
        <v>12.591587244072656</v>
      </c>
      <c r="V108" s="53">
        <f t="shared" si="98"/>
        <v>0.30578645160049706</v>
      </c>
      <c r="W108" s="52">
        <f t="shared" si="99"/>
        <v>7</v>
      </c>
      <c r="X108" s="53">
        <v>2.1673499186219098</v>
      </c>
      <c r="Y108" s="53">
        <v>6.3458113725816272</v>
      </c>
      <c r="Z108" s="53">
        <v>14.067140433005996</v>
      </c>
      <c r="AA108" s="53">
        <f t="shared" si="100"/>
        <v>0.34154023675938233</v>
      </c>
      <c r="AB108" s="53">
        <f t="shared" si="101"/>
        <v>6.4697179189884935</v>
      </c>
      <c r="AC108" s="53">
        <f t="shared" si="102"/>
        <v>1.8852573385378764</v>
      </c>
      <c r="AD108" s="53">
        <f t="shared" si="103"/>
        <v>5.8167539625668825</v>
      </c>
      <c r="AE108" s="54">
        <f t="shared" si="104"/>
        <v>13.284681017335259</v>
      </c>
    </row>
    <row r="109" spans="2:31" x14ac:dyDescent="0.3">
      <c r="B109" s="49">
        <f t="shared" si="56"/>
        <v>98</v>
      </c>
      <c r="C109" s="62" t="s">
        <v>373</v>
      </c>
      <c r="D109" s="112" t="s">
        <v>94</v>
      </c>
      <c r="E109" s="60" t="s">
        <v>362</v>
      </c>
      <c r="F109" s="39">
        <v>1</v>
      </c>
      <c r="G109" s="40">
        <v>5.3</v>
      </c>
      <c r="H109" s="40">
        <v>6</v>
      </c>
      <c r="I109" s="120">
        <f t="shared" si="89"/>
        <v>1.8170973966824597</v>
      </c>
      <c r="J109" s="42">
        <f t="shared" si="90"/>
        <v>0.34284856541178488</v>
      </c>
      <c r="K109" s="41">
        <f t="shared" si="91"/>
        <v>2.9167396363433249</v>
      </c>
      <c r="L109" s="43">
        <f t="shared" si="92"/>
        <v>0.84504372230143843</v>
      </c>
      <c r="M109" s="43">
        <f t="shared" si="93"/>
        <v>5.3</v>
      </c>
      <c r="N109" s="43">
        <f t="shared" si="94"/>
        <v>4.3667725774667909</v>
      </c>
      <c r="O109" s="43">
        <f t="shared" si="95"/>
        <v>12.944106168190759</v>
      </c>
      <c r="P109" s="44">
        <f t="shared" si="96"/>
        <v>3.9317578858087918</v>
      </c>
      <c r="Q109" s="45">
        <f t="shared" si="97"/>
        <v>0.18867924528301888</v>
      </c>
      <c r="R109" s="52">
        <v>3</v>
      </c>
      <c r="S109" s="53">
        <v>0.35184631840544622</v>
      </c>
      <c r="T109" s="53">
        <v>2.3659738927290714</v>
      </c>
      <c r="U109" s="53">
        <v>7.81472776394987</v>
      </c>
      <c r="V109" s="53">
        <f t="shared" si="98"/>
        <v>0.14871098936751298</v>
      </c>
      <c r="W109" s="52">
        <f t="shared" si="99"/>
        <v>4</v>
      </c>
      <c r="X109" s="53">
        <v>0.71072302281597644</v>
      </c>
      <c r="Y109" s="53">
        <v>3.3566940013967228</v>
      </c>
      <c r="Z109" s="53">
        <v>9.487729036988851</v>
      </c>
      <c r="AA109" s="53">
        <f t="shared" si="100"/>
        <v>0.21173303927025938</v>
      </c>
      <c r="AB109" s="53">
        <f t="shared" si="101"/>
        <v>3.6341947933649195</v>
      </c>
      <c r="AC109" s="53">
        <f t="shared" si="102"/>
        <v>0.57944405580256575</v>
      </c>
      <c r="AD109" s="53">
        <f t="shared" si="103"/>
        <v>2.994283427328023</v>
      </c>
      <c r="AE109" s="54">
        <f t="shared" si="104"/>
        <v>8.8757364606040738</v>
      </c>
    </row>
    <row r="110" spans="2:31" ht="15" customHeight="1" x14ac:dyDescent="0.3">
      <c r="B110" s="49">
        <f t="shared" si="56"/>
        <v>99</v>
      </c>
      <c r="C110" s="62" t="s">
        <v>373</v>
      </c>
      <c r="D110" s="112" t="s">
        <v>80</v>
      </c>
      <c r="E110" s="60" t="s">
        <v>194</v>
      </c>
      <c r="F110" s="39">
        <v>1</v>
      </c>
      <c r="G110" s="40">
        <v>9.6999999999999993</v>
      </c>
      <c r="H110" s="40">
        <v>36</v>
      </c>
      <c r="I110" s="120">
        <f t="shared" si="89"/>
        <v>1.1946997971051423</v>
      </c>
      <c r="J110" s="42">
        <f t="shared" si="90"/>
        <v>0.12316492753661262</v>
      </c>
      <c r="K110" s="41">
        <f t="shared" si="91"/>
        <v>8.119194481746721</v>
      </c>
      <c r="L110" s="43">
        <f t="shared" si="92"/>
        <v>0.8104913889354215</v>
      </c>
      <c r="M110" s="43">
        <f t="shared" si="93"/>
        <v>9.6999999999999993</v>
      </c>
      <c r="N110" s="43">
        <f t="shared" si="94"/>
        <v>7.176479610235047</v>
      </c>
      <c r="O110" s="43">
        <f t="shared" si="95"/>
        <v>27.205157498848809</v>
      </c>
      <c r="P110" s="44">
        <f t="shared" si="96"/>
        <v>8.8744682360659333</v>
      </c>
      <c r="Q110" s="45">
        <f t="shared" si="97"/>
        <v>0.10309278350515465</v>
      </c>
      <c r="R110" s="52">
        <v>2</v>
      </c>
      <c r="S110" s="53">
        <v>0.10258658882167279</v>
      </c>
      <c r="T110" s="53">
        <v>1.3862943760896287</v>
      </c>
      <c r="U110" s="53">
        <v>5.9914645471914136</v>
      </c>
      <c r="V110" s="53">
        <f t="shared" si="98"/>
        <v>7.4000580678284605E-2</v>
      </c>
      <c r="W110" s="52">
        <f t="shared" si="99"/>
        <v>3</v>
      </c>
      <c r="X110" s="53">
        <v>0.35184631840544622</v>
      </c>
      <c r="Y110" s="53">
        <v>2.3659738927290714</v>
      </c>
      <c r="Z110" s="53">
        <v>7.81472776394987</v>
      </c>
      <c r="AA110" s="53">
        <f t="shared" si="100"/>
        <v>0.14871098936751298</v>
      </c>
      <c r="AB110" s="53">
        <f t="shared" si="101"/>
        <v>2.3893995942102846</v>
      </c>
      <c r="AC110" s="53">
        <f t="shared" si="102"/>
        <v>0.19964822637455942</v>
      </c>
      <c r="AD110" s="53">
        <f t="shared" si="103"/>
        <v>1.7677811823251552</v>
      </c>
      <c r="AE110" s="54">
        <f t="shared" si="104"/>
        <v>6.7014425039356942</v>
      </c>
    </row>
    <row r="111" spans="2:31" ht="15" customHeight="1" x14ac:dyDescent="0.3">
      <c r="B111" s="49">
        <f t="shared" si="56"/>
        <v>100</v>
      </c>
      <c r="C111" s="62" t="s">
        <v>374</v>
      </c>
      <c r="D111" s="112" t="s">
        <v>95</v>
      </c>
      <c r="E111" s="60" t="s">
        <v>195</v>
      </c>
      <c r="F111" s="39">
        <v>0.5</v>
      </c>
      <c r="G111" s="40">
        <v>6.8</v>
      </c>
      <c r="H111" s="40">
        <v>297</v>
      </c>
      <c r="I111" s="120">
        <f t="shared" si="89"/>
        <v>0.99639543813253484</v>
      </c>
      <c r="J111" s="42">
        <f t="shared" si="90"/>
        <v>0.14652874090184337</v>
      </c>
      <c r="K111" s="41">
        <f t="shared" si="91"/>
        <v>6.8245996918098113</v>
      </c>
      <c r="L111" s="43">
        <f t="shared" si="92"/>
        <v>0.34762933219143705</v>
      </c>
      <c r="M111" s="43">
        <f t="shared" si="93"/>
        <v>6.8</v>
      </c>
      <c r="N111" s="43">
        <f t="shared" si="94"/>
        <v>4.7075409673492459</v>
      </c>
      <c r="O111" s="43">
        <f t="shared" si="95"/>
        <v>20.391784080953073</v>
      </c>
      <c r="P111" s="44">
        <f t="shared" si="96"/>
        <v>6.8122887419946254</v>
      </c>
      <c r="Q111" s="45">
        <f t="shared" si="97"/>
        <v>7.3529411764705885E-2</v>
      </c>
      <c r="R111" s="52">
        <v>1</v>
      </c>
      <c r="S111" s="53">
        <v>3.9321400005324098E-3</v>
      </c>
      <c r="T111" s="53">
        <v>0.4549364250484666</v>
      </c>
      <c r="U111" s="53">
        <v>3.841459149489757</v>
      </c>
      <c r="V111" s="53">
        <f t="shared" si="98"/>
        <v>8.6432736180961992E-3</v>
      </c>
      <c r="W111" s="52">
        <f t="shared" si="99"/>
        <v>2</v>
      </c>
      <c r="X111" s="53">
        <v>0.10258658882167279</v>
      </c>
      <c r="Y111" s="53">
        <v>1.3862943760896287</v>
      </c>
      <c r="Z111" s="53">
        <v>5.9914645471914136</v>
      </c>
      <c r="AA111" s="53">
        <f t="shared" si="100"/>
        <v>7.4000580678284605E-2</v>
      </c>
      <c r="AB111" s="53">
        <f t="shared" si="101"/>
        <v>1.9927908762650697</v>
      </c>
      <c r="AC111" s="53">
        <f t="shared" si="102"/>
        <v>0.10187537669311984</v>
      </c>
      <c r="AD111" s="53">
        <f t="shared" si="103"/>
        <v>1.3795801013790616</v>
      </c>
      <c r="AE111" s="54">
        <f t="shared" si="104"/>
        <v>5.9759648922486139</v>
      </c>
    </row>
    <row r="112" spans="2:31" x14ac:dyDescent="0.3">
      <c r="B112" s="49">
        <f t="shared" si="56"/>
        <v>101</v>
      </c>
      <c r="C112" s="62" t="s">
        <v>374</v>
      </c>
      <c r="D112" s="112" t="s">
        <v>96</v>
      </c>
      <c r="E112" s="60" t="s">
        <v>362</v>
      </c>
      <c r="F112" s="39">
        <v>1</v>
      </c>
      <c r="G112" s="40">
        <v>5.3</v>
      </c>
      <c r="H112" s="40">
        <v>6</v>
      </c>
      <c r="I112" s="120">
        <f t="shared" si="40"/>
        <v>1.8170973966824597</v>
      </c>
      <c r="J112" s="42">
        <f t="shared" si="41"/>
        <v>0.34284856541178488</v>
      </c>
      <c r="K112" s="41">
        <f t="shared" si="42"/>
        <v>2.9167396363433249</v>
      </c>
      <c r="L112" s="43">
        <f t="shared" si="43"/>
        <v>0.84504372230143843</v>
      </c>
      <c r="M112" s="43">
        <f t="shared" si="44"/>
        <v>5.3</v>
      </c>
      <c r="N112" s="43">
        <f t="shared" si="45"/>
        <v>4.3667725774667909</v>
      </c>
      <c r="O112" s="43">
        <f t="shared" si="46"/>
        <v>12.944106168190759</v>
      </c>
      <c r="P112" s="44">
        <f t="shared" si="47"/>
        <v>3.9317578858087918</v>
      </c>
      <c r="Q112" s="45">
        <f t="shared" si="55"/>
        <v>0.18867924528301888</v>
      </c>
      <c r="R112" s="52">
        <v>3</v>
      </c>
      <c r="S112" s="53">
        <v>0.35184631840544622</v>
      </c>
      <c r="T112" s="53">
        <v>2.3659738927290714</v>
      </c>
      <c r="U112" s="53">
        <v>7.81472776394987</v>
      </c>
      <c r="V112" s="53">
        <f t="shared" si="48"/>
        <v>0.14871098936751298</v>
      </c>
      <c r="W112" s="52">
        <f t="shared" si="49"/>
        <v>4</v>
      </c>
      <c r="X112" s="53">
        <v>0.71072302281597644</v>
      </c>
      <c r="Y112" s="53">
        <v>3.3566940013967228</v>
      </c>
      <c r="Z112" s="53">
        <v>9.487729036988851</v>
      </c>
      <c r="AA112" s="53">
        <f t="shared" si="50"/>
        <v>0.21173303927025938</v>
      </c>
      <c r="AB112" s="53">
        <f t="shared" si="51"/>
        <v>3.6341947933649195</v>
      </c>
      <c r="AC112" s="53">
        <f t="shared" si="52"/>
        <v>0.57944405580256575</v>
      </c>
      <c r="AD112" s="53">
        <f t="shared" si="53"/>
        <v>2.994283427328023</v>
      </c>
      <c r="AE112" s="54">
        <f t="shared" si="54"/>
        <v>8.8757364606040738</v>
      </c>
    </row>
    <row r="113" spans="2:31" ht="15" customHeight="1" x14ac:dyDescent="0.3">
      <c r="B113" s="49">
        <f t="shared" si="56"/>
        <v>102</v>
      </c>
      <c r="C113" s="62" t="s">
        <v>374</v>
      </c>
      <c r="D113" s="112" t="s">
        <v>97</v>
      </c>
      <c r="E113" s="60" t="s">
        <v>196</v>
      </c>
      <c r="F113" s="39">
        <v>0.3</v>
      </c>
      <c r="G113" s="40">
        <v>11</v>
      </c>
      <c r="H113" s="40">
        <v>1293</v>
      </c>
      <c r="I113" s="120">
        <f t="shared" si="40"/>
        <v>0.64252005240573151</v>
      </c>
      <c r="J113" s="42">
        <f t="shared" si="41"/>
        <v>5.8410913855066499E-2</v>
      </c>
      <c r="K113" s="41">
        <f t="shared" si="42"/>
        <v>17.120088250652511</v>
      </c>
      <c r="L113" s="43">
        <f t="shared" si="43"/>
        <v>0.27437179387535948</v>
      </c>
      <c r="M113" s="43">
        <f t="shared" si="44"/>
        <v>11</v>
      </c>
      <c r="N113" s="43">
        <f t="shared" si="45"/>
        <v>6.1667481767000387</v>
      </c>
      <c r="O113" s="43">
        <f t="shared" si="46"/>
        <v>38.128978125972999</v>
      </c>
      <c r="P113" s="44">
        <f t="shared" si="47"/>
        <v>13.723008808463895</v>
      </c>
      <c r="Q113" s="45">
        <f t="shared" si="55"/>
        <v>2.7272727272727271E-2</v>
      </c>
      <c r="R113" s="52">
        <v>1</v>
      </c>
      <c r="S113" s="53">
        <v>3.9321400005324098E-3</v>
      </c>
      <c r="T113" s="53">
        <v>0.4549364250484666</v>
      </c>
      <c r="U113" s="53">
        <v>3.841459149489757</v>
      </c>
      <c r="V113" s="53">
        <f t="shared" si="48"/>
        <v>8.6432736180961992E-3</v>
      </c>
      <c r="W113" s="52">
        <f t="shared" si="49"/>
        <v>2</v>
      </c>
      <c r="X113" s="53">
        <v>0.10258658882167279</v>
      </c>
      <c r="Y113" s="53">
        <v>1.3862943760896287</v>
      </c>
      <c r="Z113" s="53">
        <v>5.9914645471914136</v>
      </c>
      <c r="AA113" s="53">
        <f t="shared" si="50"/>
        <v>7.4000580678284605E-2</v>
      </c>
      <c r="AB113" s="53">
        <f t="shared" si="51"/>
        <v>1.285040104811463</v>
      </c>
      <c r="AC113" s="53">
        <f t="shared" si="52"/>
        <v>3.2052614432627372E-2</v>
      </c>
      <c r="AD113" s="53">
        <f t="shared" si="53"/>
        <v>0.72041079303022881</v>
      </c>
      <c r="AE113" s="54">
        <f t="shared" si="54"/>
        <v>4.4542969133958481</v>
      </c>
    </row>
    <row r="114" spans="2:31" ht="15" customHeight="1" x14ac:dyDescent="0.3">
      <c r="B114" s="49">
        <f t="shared" si="56"/>
        <v>103</v>
      </c>
      <c r="C114" s="62" t="s">
        <v>374</v>
      </c>
      <c r="D114" s="112" t="s">
        <v>98</v>
      </c>
      <c r="E114" s="60" t="s">
        <v>197</v>
      </c>
      <c r="F114" s="39">
        <v>0.5</v>
      </c>
      <c r="G114" s="40">
        <v>6.8</v>
      </c>
      <c r="H114" s="40">
        <v>297</v>
      </c>
      <c r="I114" s="120">
        <f t="shared" si="40"/>
        <v>0.99639543813253484</v>
      </c>
      <c r="J114" s="42">
        <f t="shared" si="41"/>
        <v>0.14652874090184337</v>
      </c>
      <c r="K114" s="41">
        <f t="shared" si="42"/>
        <v>6.8245996918098113</v>
      </c>
      <c r="L114" s="43">
        <f t="shared" si="43"/>
        <v>0.34762933219143705</v>
      </c>
      <c r="M114" s="43">
        <f t="shared" si="44"/>
        <v>6.8</v>
      </c>
      <c r="N114" s="43">
        <f t="shared" si="45"/>
        <v>4.7075409673492459</v>
      </c>
      <c r="O114" s="43">
        <f t="shared" si="46"/>
        <v>20.391784080953073</v>
      </c>
      <c r="P114" s="44">
        <f t="shared" si="47"/>
        <v>6.8122887419946254</v>
      </c>
      <c r="Q114" s="45">
        <f t="shared" si="55"/>
        <v>7.3529411764705885E-2</v>
      </c>
      <c r="R114" s="52">
        <v>1</v>
      </c>
      <c r="S114" s="53">
        <v>3.9321400005324098E-3</v>
      </c>
      <c r="T114" s="53">
        <v>0.4549364250484666</v>
      </c>
      <c r="U114" s="53">
        <v>3.841459149489757</v>
      </c>
      <c r="V114" s="53">
        <f t="shared" si="48"/>
        <v>8.6432736180961992E-3</v>
      </c>
      <c r="W114" s="52">
        <f t="shared" si="49"/>
        <v>2</v>
      </c>
      <c r="X114" s="53">
        <v>0.10258658882167279</v>
      </c>
      <c r="Y114" s="53">
        <v>1.3862943760896287</v>
      </c>
      <c r="Z114" s="53">
        <v>5.9914645471914136</v>
      </c>
      <c r="AA114" s="53">
        <f t="shared" si="50"/>
        <v>7.4000580678284605E-2</v>
      </c>
      <c r="AB114" s="53">
        <f t="shared" si="51"/>
        <v>1.9927908762650697</v>
      </c>
      <c r="AC114" s="53">
        <f t="shared" si="52"/>
        <v>0.10187537669311984</v>
      </c>
      <c r="AD114" s="53">
        <f t="shared" si="53"/>
        <v>1.3795801013790616</v>
      </c>
      <c r="AE114" s="54">
        <f t="shared" si="54"/>
        <v>5.9759648922486139</v>
      </c>
    </row>
    <row r="115" spans="2:31" ht="15" customHeight="1" x14ac:dyDescent="0.3">
      <c r="B115" s="49">
        <f t="shared" si="56"/>
        <v>104</v>
      </c>
      <c r="C115" s="62" t="s">
        <v>374</v>
      </c>
      <c r="D115" s="112" t="s">
        <v>99</v>
      </c>
      <c r="E115" s="60" t="s">
        <v>210</v>
      </c>
      <c r="F115" s="39">
        <v>1</v>
      </c>
      <c r="G115" s="40">
        <v>4</v>
      </c>
      <c r="H115" s="40">
        <v>17</v>
      </c>
      <c r="I115" s="120">
        <f t="shared" si="40"/>
        <v>2.3714772644484672</v>
      </c>
      <c r="J115" s="42">
        <f t="shared" si="41"/>
        <v>0.5928693161121168</v>
      </c>
      <c r="K115" s="41">
        <f t="shared" si="42"/>
        <v>1.6867123543477349</v>
      </c>
      <c r="L115" s="43">
        <f t="shared" si="43"/>
        <v>0.87179826746217948</v>
      </c>
      <c r="M115" s="43">
        <f t="shared" si="44"/>
        <v>4</v>
      </c>
      <c r="N115" s="43">
        <f t="shared" si="45"/>
        <v>3.4541845554826032</v>
      </c>
      <c r="O115" s="43">
        <f t="shared" si="46"/>
        <v>8.993258661015533</v>
      </c>
      <c r="P115" s="44">
        <f t="shared" si="47"/>
        <v>2.5974698106794119</v>
      </c>
      <c r="Q115" s="45">
        <f t="shared" si="55"/>
        <v>0.25</v>
      </c>
      <c r="R115" s="52">
        <v>4</v>
      </c>
      <c r="S115" s="53">
        <v>0.71072302281597644</v>
      </c>
      <c r="T115" s="53">
        <v>3.3566940013967228</v>
      </c>
      <c r="U115" s="53">
        <v>9.487729036988851</v>
      </c>
      <c r="V115" s="53">
        <f t="shared" si="48"/>
        <v>0.21173303927025938</v>
      </c>
      <c r="W115" s="52">
        <f t="shared" si="49"/>
        <v>5</v>
      </c>
      <c r="X115" s="53">
        <v>1.1454762275641139</v>
      </c>
      <c r="Y115" s="53">
        <v>4.3514602221082166</v>
      </c>
      <c r="Z115" s="53">
        <v>11.070497754622684</v>
      </c>
      <c r="AA115" s="53">
        <f t="shared" si="50"/>
        <v>0.26323950331531426</v>
      </c>
      <c r="AB115" s="53">
        <f t="shared" si="51"/>
        <v>4.7429545288969344</v>
      </c>
      <c r="AC115" s="53">
        <f t="shared" si="52"/>
        <v>1.0337248852360612</v>
      </c>
      <c r="AD115" s="53">
        <f t="shared" si="53"/>
        <v>4.0957600702680139</v>
      </c>
      <c r="AE115" s="54">
        <f t="shared" si="54"/>
        <v>10.663654223951299</v>
      </c>
    </row>
    <row r="116" spans="2:31" ht="15" customHeight="1" x14ac:dyDescent="0.3">
      <c r="B116" s="49">
        <f t="shared" si="56"/>
        <v>105</v>
      </c>
      <c r="C116" s="62" t="s">
        <v>374</v>
      </c>
      <c r="D116" s="112" t="s">
        <v>100</v>
      </c>
      <c r="E116" s="60" t="s">
        <v>198</v>
      </c>
      <c r="F116" s="39">
        <v>1</v>
      </c>
      <c r="G116" s="40">
        <v>9.6999999999999993</v>
      </c>
      <c r="H116" s="40">
        <v>36</v>
      </c>
      <c r="I116" s="120">
        <f t="shared" si="40"/>
        <v>1.1946997971051423</v>
      </c>
      <c r="J116" s="42">
        <f t="shared" si="41"/>
        <v>0.12316492753661262</v>
      </c>
      <c r="K116" s="41">
        <f t="shared" si="42"/>
        <v>8.119194481746721</v>
      </c>
      <c r="L116" s="43">
        <f t="shared" si="43"/>
        <v>0.8104913889354215</v>
      </c>
      <c r="M116" s="43">
        <f t="shared" si="44"/>
        <v>9.6999999999999993</v>
      </c>
      <c r="N116" s="43">
        <f t="shared" si="45"/>
        <v>7.176479610235047</v>
      </c>
      <c r="O116" s="43">
        <f t="shared" si="46"/>
        <v>27.205157498848809</v>
      </c>
      <c r="P116" s="44">
        <f t="shared" si="47"/>
        <v>8.8744682360659333</v>
      </c>
      <c r="Q116" s="45">
        <f t="shared" si="55"/>
        <v>0.10309278350515465</v>
      </c>
      <c r="R116" s="52">
        <v>2</v>
      </c>
      <c r="S116" s="53">
        <v>0.10258658882167279</v>
      </c>
      <c r="T116" s="53">
        <v>1.3862943760896287</v>
      </c>
      <c r="U116" s="53">
        <v>5.9914645471914136</v>
      </c>
      <c r="V116" s="53">
        <f t="shared" si="48"/>
        <v>7.4000580678284605E-2</v>
      </c>
      <c r="W116" s="52">
        <f t="shared" si="49"/>
        <v>3</v>
      </c>
      <c r="X116" s="53">
        <v>0.35184631840544622</v>
      </c>
      <c r="Y116" s="53">
        <v>2.3659738927290714</v>
      </c>
      <c r="Z116" s="53">
        <v>7.81472776394987</v>
      </c>
      <c r="AA116" s="53">
        <f t="shared" si="50"/>
        <v>0.14871098936751298</v>
      </c>
      <c r="AB116" s="53">
        <f t="shared" si="51"/>
        <v>2.3893995942102846</v>
      </c>
      <c r="AC116" s="53">
        <f t="shared" si="52"/>
        <v>0.19964822637455942</v>
      </c>
      <c r="AD116" s="53">
        <f t="shared" si="53"/>
        <v>1.7677811823251552</v>
      </c>
      <c r="AE116" s="54">
        <f t="shared" si="54"/>
        <v>6.7014425039356942</v>
      </c>
    </row>
    <row r="117" spans="2:31" ht="15" customHeight="1" x14ac:dyDescent="0.3">
      <c r="B117" s="49">
        <f t="shared" si="56"/>
        <v>106</v>
      </c>
      <c r="C117" s="62" t="s">
        <v>374</v>
      </c>
      <c r="D117" s="112" t="s">
        <v>101</v>
      </c>
      <c r="E117" s="60" t="s">
        <v>199</v>
      </c>
      <c r="F117" s="39">
        <v>0.5</v>
      </c>
      <c r="G117" s="40">
        <v>6.8</v>
      </c>
      <c r="H117" s="40">
        <v>297</v>
      </c>
      <c r="I117" s="120">
        <f t="shared" si="40"/>
        <v>0.99639543813253484</v>
      </c>
      <c r="J117" s="42">
        <f t="shared" si="41"/>
        <v>0.14652874090184337</v>
      </c>
      <c r="K117" s="41">
        <f t="shared" si="42"/>
        <v>6.8245996918098113</v>
      </c>
      <c r="L117" s="43">
        <f t="shared" si="43"/>
        <v>0.34762933219143705</v>
      </c>
      <c r="M117" s="43">
        <f t="shared" si="44"/>
        <v>6.8</v>
      </c>
      <c r="N117" s="43">
        <f t="shared" si="45"/>
        <v>4.7075409673492459</v>
      </c>
      <c r="O117" s="43">
        <f t="shared" si="46"/>
        <v>20.391784080953073</v>
      </c>
      <c r="P117" s="44">
        <f t="shared" si="47"/>
        <v>6.8122887419946254</v>
      </c>
      <c r="Q117" s="45">
        <f t="shared" si="55"/>
        <v>7.3529411764705885E-2</v>
      </c>
      <c r="R117" s="52">
        <v>1</v>
      </c>
      <c r="S117" s="53">
        <v>3.9321400005324098E-3</v>
      </c>
      <c r="T117" s="53">
        <v>0.4549364250484666</v>
      </c>
      <c r="U117" s="53">
        <v>3.841459149489757</v>
      </c>
      <c r="V117" s="53">
        <f t="shared" si="48"/>
        <v>8.6432736180961992E-3</v>
      </c>
      <c r="W117" s="52">
        <f t="shared" si="49"/>
        <v>2</v>
      </c>
      <c r="X117" s="53">
        <v>0.10258658882167279</v>
      </c>
      <c r="Y117" s="53">
        <v>1.3862943760896287</v>
      </c>
      <c r="Z117" s="53">
        <v>5.9914645471914136</v>
      </c>
      <c r="AA117" s="53">
        <f t="shared" si="50"/>
        <v>7.4000580678284605E-2</v>
      </c>
      <c r="AB117" s="53">
        <f t="shared" si="51"/>
        <v>1.9927908762650697</v>
      </c>
      <c r="AC117" s="53">
        <f t="shared" si="52"/>
        <v>0.10187537669311984</v>
      </c>
      <c r="AD117" s="53">
        <f t="shared" si="53"/>
        <v>1.3795801013790616</v>
      </c>
      <c r="AE117" s="54">
        <f t="shared" si="54"/>
        <v>5.9759648922486139</v>
      </c>
    </row>
    <row r="118" spans="2:31" x14ac:dyDescent="0.3">
      <c r="B118" s="49">
        <f t="shared" si="56"/>
        <v>107</v>
      </c>
      <c r="C118" s="62" t="s">
        <v>374</v>
      </c>
      <c r="D118" s="112" t="s">
        <v>102</v>
      </c>
      <c r="E118" s="60" t="s">
        <v>362</v>
      </c>
      <c r="F118" s="39">
        <v>1</v>
      </c>
      <c r="G118" s="40">
        <v>5.3</v>
      </c>
      <c r="H118" s="40">
        <v>6</v>
      </c>
      <c r="I118" s="120">
        <f t="shared" si="40"/>
        <v>1.8170973966824597</v>
      </c>
      <c r="J118" s="42">
        <f t="shared" si="41"/>
        <v>0.34284856541178488</v>
      </c>
      <c r="K118" s="41">
        <f t="shared" si="42"/>
        <v>2.9167396363433249</v>
      </c>
      <c r="L118" s="43">
        <f t="shared" si="43"/>
        <v>0.84504372230143843</v>
      </c>
      <c r="M118" s="43">
        <f t="shared" si="44"/>
        <v>5.3</v>
      </c>
      <c r="N118" s="43">
        <f t="shared" si="45"/>
        <v>4.3667725774667909</v>
      </c>
      <c r="O118" s="43">
        <f t="shared" si="46"/>
        <v>12.944106168190759</v>
      </c>
      <c r="P118" s="44">
        <f t="shared" si="47"/>
        <v>3.9317578858087918</v>
      </c>
      <c r="Q118" s="45">
        <f t="shared" si="55"/>
        <v>0.18867924528301888</v>
      </c>
      <c r="R118" s="52">
        <v>3</v>
      </c>
      <c r="S118" s="53">
        <v>0.35184631840544622</v>
      </c>
      <c r="T118" s="53">
        <v>2.3659738927290714</v>
      </c>
      <c r="U118" s="53">
        <v>7.81472776394987</v>
      </c>
      <c r="V118" s="53">
        <f t="shared" si="48"/>
        <v>0.14871098936751298</v>
      </c>
      <c r="W118" s="52">
        <f t="shared" si="49"/>
        <v>4</v>
      </c>
      <c r="X118" s="53">
        <v>0.71072302281597644</v>
      </c>
      <c r="Y118" s="53">
        <v>3.3566940013967228</v>
      </c>
      <c r="Z118" s="53">
        <v>9.487729036988851</v>
      </c>
      <c r="AA118" s="53">
        <f t="shared" si="50"/>
        <v>0.21173303927025938</v>
      </c>
      <c r="AB118" s="53">
        <f t="shared" si="51"/>
        <v>3.6341947933649195</v>
      </c>
      <c r="AC118" s="53">
        <f t="shared" si="52"/>
        <v>0.57944405580256575</v>
      </c>
      <c r="AD118" s="53">
        <f t="shared" si="53"/>
        <v>2.994283427328023</v>
      </c>
      <c r="AE118" s="54">
        <f t="shared" si="54"/>
        <v>8.8757364606040738</v>
      </c>
    </row>
    <row r="119" spans="2:31" ht="15" customHeight="1" x14ac:dyDescent="0.3">
      <c r="B119" s="49">
        <f t="shared" si="56"/>
        <v>108</v>
      </c>
      <c r="C119" s="62" t="s">
        <v>374</v>
      </c>
      <c r="D119" s="112" t="s">
        <v>103</v>
      </c>
      <c r="E119" s="60" t="s">
        <v>200</v>
      </c>
      <c r="F119" s="39">
        <v>0.5</v>
      </c>
      <c r="G119" s="40">
        <v>6.8</v>
      </c>
      <c r="H119" s="40">
        <v>297</v>
      </c>
      <c r="I119" s="120">
        <f t="shared" si="40"/>
        <v>0.99639543813253484</v>
      </c>
      <c r="J119" s="42">
        <f t="shared" si="41"/>
        <v>0.14652874090184337</v>
      </c>
      <c r="K119" s="41">
        <f t="shared" si="42"/>
        <v>6.8245996918098113</v>
      </c>
      <c r="L119" s="43">
        <f t="shared" si="43"/>
        <v>0.34762933219143705</v>
      </c>
      <c r="M119" s="43">
        <f t="shared" si="44"/>
        <v>6.8</v>
      </c>
      <c r="N119" s="43">
        <f t="shared" si="45"/>
        <v>4.7075409673492459</v>
      </c>
      <c r="O119" s="43">
        <f t="shared" si="46"/>
        <v>20.391784080953073</v>
      </c>
      <c r="P119" s="44">
        <f t="shared" si="47"/>
        <v>6.8122887419946254</v>
      </c>
      <c r="Q119" s="45">
        <f t="shared" si="55"/>
        <v>7.3529411764705885E-2</v>
      </c>
      <c r="R119" s="52">
        <v>1</v>
      </c>
      <c r="S119" s="53">
        <v>3.9321400005324098E-3</v>
      </c>
      <c r="T119" s="53">
        <v>0.4549364250484666</v>
      </c>
      <c r="U119" s="53">
        <v>3.841459149489757</v>
      </c>
      <c r="V119" s="53">
        <f t="shared" si="48"/>
        <v>8.6432736180961992E-3</v>
      </c>
      <c r="W119" s="52">
        <f t="shared" si="49"/>
        <v>2</v>
      </c>
      <c r="X119" s="53">
        <v>0.10258658882167279</v>
      </c>
      <c r="Y119" s="53">
        <v>1.3862943760896287</v>
      </c>
      <c r="Z119" s="53">
        <v>5.9914645471914136</v>
      </c>
      <c r="AA119" s="53">
        <f t="shared" si="50"/>
        <v>7.4000580678284605E-2</v>
      </c>
      <c r="AB119" s="53">
        <f t="shared" si="51"/>
        <v>1.9927908762650697</v>
      </c>
      <c r="AC119" s="53">
        <f t="shared" si="52"/>
        <v>0.10187537669311984</v>
      </c>
      <c r="AD119" s="53">
        <f t="shared" si="53"/>
        <v>1.3795801013790616</v>
      </c>
      <c r="AE119" s="54">
        <f t="shared" si="54"/>
        <v>5.9759648922486139</v>
      </c>
    </row>
    <row r="120" spans="2:31" ht="15" customHeight="1" x14ac:dyDescent="0.3">
      <c r="B120" s="49">
        <f t="shared" si="56"/>
        <v>109</v>
      </c>
      <c r="C120" s="62" t="s">
        <v>374</v>
      </c>
      <c r="D120" s="112" t="s">
        <v>104</v>
      </c>
      <c r="E120" s="60" t="s">
        <v>201</v>
      </c>
      <c r="F120" s="39">
        <v>1</v>
      </c>
      <c r="G120" s="40">
        <v>4</v>
      </c>
      <c r="H120" s="40">
        <v>17</v>
      </c>
      <c r="I120" s="120">
        <f t="shared" si="40"/>
        <v>2.3714772644484672</v>
      </c>
      <c r="J120" s="42">
        <f t="shared" si="41"/>
        <v>0.5928693161121168</v>
      </c>
      <c r="K120" s="41">
        <f t="shared" si="42"/>
        <v>1.6867123543477349</v>
      </c>
      <c r="L120" s="43">
        <f t="shared" si="43"/>
        <v>0.87179826746217948</v>
      </c>
      <c r="M120" s="43">
        <f t="shared" si="44"/>
        <v>4</v>
      </c>
      <c r="N120" s="43">
        <f t="shared" si="45"/>
        <v>3.4541845554826032</v>
      </c>
      <c r="O120" s="43">
        <f t="shared" si="46"/>
        <v>8.993258661015533</v>
      </c>
      <c r="P120" s="44">
        <f t="shared" si="47"/>
        <v>2.5974698106794119</v>
      </c>
      <c r="Q120" s="45">
        <f t="shared" si="55"/>
        <v>0.25</v>
      </c>
      <c r="R120" s="52">
        <v>4</v>
      </c>
      <c r="S120" s="53">
        <v>0.71072302281597644</v>
      </c>
      <c r="T120" s="53">
        <v>3.3566940013967228</v>
      </c>
      <c r="U120" s="53">
        <v>9.487729036988851</v>
      </c>
      <c r="V120" s="53">
        <f t="shared" si="48"/>
        <v>0.21173303927025938</v>
      </c>
      <c r="W120" s="52">
        <f t="shared" si="49"/>
        <v>5</v>
      </c>
      <c r="X120" s="53">
        <v>1.1454762275641139</v>
      </c>
      <c r="Y120" s="53">
        <v>4.3514602221082166</v>
      </c>
      <c r="Z120" s="53">
        <v>11.070497754622684</v>
      </c>
      <c r="AA120" s="53">
        <f t="shared" si="50"/>
        <v>0.26323950331531426</v>
      </c>
      <c r="AB120" s="53">
        <f t="shared" si="51"/>
        <v>4.7429545288969344</v>
      </c>
      <c r="AC120" s="53">
        <f t="shared" si="52"/>
        <v>1.0337248852360612</v>
      </c>
      <c r="AD120" s="53">
        <f t="shared" si="53"/>
        <v>4.0957600702680139</v>
      </c>
      <c r="AE120" s="54">
        <f t="shared" si="54"/>
        <v>10.663654223951299</v>
      </c>
    </row>
    <row r="121" spans="2:31" ht="15" customHeight="1" x14ac:dyDescent="0.3">
      <c r="B121" s="49">
        <f t="shared" si="56"/>
        <v>110</v>
      </c>
      <c r="C121" s="62" t="s">
        <v>374</v>
      </c>
      <c r="D121" s="112" t="s">
        <v>105</v>
      </c>
      <c r="E121" s="60" t="s">
        <v>202</v>
      </c>
      <c r="F121" s="39">
        <v>1</v>
      </c>
      <c r="G121" s="40">
        <v>9.6999999999999993</v>
      </c>
      <c r="H121" s="40">
        <v>36</v>
      </c>
      <c r="I121" s="120">
        <f t="shared" si="40"/>
        <v>1.1946997971051423</v>
      </c>
      <c r="J121" s="42">
        <f t="shared" si="41"/>
        <v>0.12316492753661262</v>
      </c>
      <c r="K121" s="41">
        <f t="shared" si="42"/>
        <v>8.119194481746721</v>
      </c>
      <c r="L121" s="43">
        <f t="shared" si="43"/>
        <v>0.8104913889354215</v>
      </c>
      <c r="M121" s="43">
        <f t="shared" si="44"/>
        <v>9.6999999999999993</v>
      </c>
      <c r="N121" s="43">
        <f t="shared" si="45"/>
        <v>7.176479610235047</v>
      </c>
      <c r="O121" s="43">
        <f t="shared" si="46"/>
        <v>27.205157498848809</v>
      </c>
      <c r="P121" s="44">
        <f t="shared" si="47"/>
        <v>8.8744682360659333</v>
      </c>
      <c r="Q121" s="45">
        <f t="shared" si="55"/>
        <v>0.10309278350515465</v>
      </c>
      <c r="R121" s="52">
        <v>2</v>
      </c>
      <c r="S121" s="53">
        <v>0.10258658882167279</v>
      </c>
      <c r="T121" s="53">
        <v>1.3862943760896287</v>
      </c>
      <c r="U121" s="53">
        <v>5.9914645471914136</v>
      </c>
      <c r="V121" s="53">
        <f t="shared" si="48"/>
        <v>7.4000580678284605E-2</v>
      </c>
      <c r="W121" s="52">
        <f t="shared" si="49"/>
        <v>3</v>
      </c>
      <c r="X121" s="53">
        <v>0.35184631840544622</v>
      </c>
      <c r="Y121" s="53">
        <v>2.3659738927290714</v>
      </c>
      <c r="Z121" s="53">
        <v>7.81472776394987</v>
      </c>
      <c r="AA121" s="53">
        <f t="shared" si="50"/>
        <v>0.14871098936751298</v>
      </c>
      <c r="AB121" s="53">
        <f t="shared" si="51"/>
        <v>2.3893995942102846</v>
      </c>
      <c r="AC121" s="53">
        <f t="shared" si="52"/>
        <v>0.19964822637455942</v>
      </c>
      <c r="AD121" s="53">
        <f t="shared" si="53"/>
        <v>1.7677811823251552</v>
      </c>
      <c r="AE121" s="54">
        <f t="shared" si="54"/>
        <v>6.7014425039356942</v>
      </c>
    </row>
    <row r="122" spans="2:31" ht="15" customHeight="1" x14ac:dyDescent="0.3">
      <c r="B122" s="49">
        <f t="shared" si="56"/>
        <v>111</v>
      </c>
      <c r="C122" s="62" t="s">
        <v>374</v>
      </c>
      <c r="D122" s="112" t="s">
        <v>106</v>
      </c>
      <c r="E122" s="60" t="s">
        <v>203</v>
      </c>
      <c r="F122" s="39">
        <v>0.5</v>
      </c>
      <c r="G122" s="40">
        <v>6.8</v>
      </c>
      <c r="H122" s="40">
        <v>297</v>
      </c>
      <c r="I122" s="120">
        <f t="shared" si="40"/>
        <v>0.99639543813253484</v>
      </c>
      <c r="J122" s="42">
        <f t="shared" si="41"/>
        <v>0.14652874090184337</v>
      </c>
      <c r="K122" s="41">
        <f t="shared" si="42"/>
        <v>6.8245996918098113</v>
      </c>
      <c r="L122" s="43">
        <f t="shared" si="43"/>
        <v>0.34762933219143705</v>
      </c>
      <c r="M122" s="43">
        <f t="shared" si="44"/>
        <v>6.8</v>
      </c>
      <c r="N122" s="43">
        <f t="shared" si="45"/>
        <v>4.7075409673492459</v>
      </c>
      <c r="O122" s="43">
        <f t="shared" si="46"/>
        <v>20.391784080953073</v>
      </c>
      <c r="P122" s="44">
        <f t="shared" si="47"/>
        <v>6.8122887419946254</v>
      </c>
      <c r="Q122" s="45">
        <f t="shared" si="55"/>
        <v>7.3529411764705885E-2</v>
      </c>
      <c r="R122" s="52">
        <v>1</v>
      </c>
      <c r="S122" s="53">
        <v>3.9321400005324098E-3</v>
      </c>
      <c r="T122" s="53">
        <v>0.4549364250484666</v>
      </c>
      <c r="U122" s="53">
        <v>3.841459149489757</v>
      </c>
      <c r="V122" s="53">
        <f t="shared" si="48"/>
        <v>8.6432736180961992E-3</v>
      </c>
      <c r="W122" s="52">
        <f t="shared" si="49"/>
        <v>2</v>
      </c>
      <c r="X122" s="53">
        <v>0.10258658882167279</v>
      </c>
      <c r="Y122" s="53">
        <v>1.3862943760896287</v>
      </c>
      <c r="Z122" s="53">
        <v>5.9914645471914136</v>
      </c>
      <c r="AA122" s="53">
        <f t="shared" si="50"/>
        <v>7.4000580678284605E-2</v>
      </c>
      <c r="AB122" s="53">
        <f t="shared" si="51"/>
        <v>1.9927908762650697</v>
      </c>
      <c r="AC122" s="53">
        <f t="shared" si="52"/>
        <v>0.10187537669311984</v>
      </c>
      <c r="AD122" s="53">
        <f t="shared" si="53"/>
        <v>1.3795801013790616</v>
      </c>
      <c r="AE122" s="54">
        <f t="shared" si="54"/>
        <v>5.9759648922486139</v>
      </c>
    </row>
    <row r="123" spans="2:31" x14ac:dyDescent="0.3">
      <c r="B123" s="49">
        <f t="shared" si="56"/>
        <v>112</v>
      </c>
      <c r="C123" s="62" t="s">
        <v>374</v>
      </c>
      <c r="D123" s="112" t="s">
        <v>108</v>
      </c>
      <c r="E123" s="60" t="s">
        <v>362</v>
      </c>
      <c r="F123" s="39">
        <v>1</v>
      </c>
      <c r="G123" s="40">
        <v>5.3</v>
      </c>
      <c r="H123" s="40">
        <v>6</v>
      </c>
      <c r="I123" s="120">
        <f t="shared" ref="I123" si="105">AB123/2</f>
        <v>1.8170973966824597</v>
      </c>
      <c r="J123" s="42">
        <f t="shared" ref="J123" si="106">I123/G123</f>
        <v>0.34284856541178488</v>
      </c>
      <c r="K123" s="41">
        <f t="shared" ref="K123" si="107">1/J123</f>
        <v>2.9167396363433249</v>
      </c>
      <c r="L123" s="43">
        <f t="shared" ref="L123" si="108">1/2/J123*AC123</f>
        <v>0.84504372230143843</v>
      </c>
      <c r="M123" s="43">
        <f t="shared" ref="M123" si="109">I123/J123</f>
        <v>5.3</v>
      </c>
      <c r="N123" s="43">
        <f t="shared" ref="N123" si="110">1/2/J123*AD123</f>
        <v>4.3667725774667909</v>
      </c>
      <c r="O123" s="43">
        <f t="shared" ref="O123" si="111">1/2/J123*AE123</f>
        <v>12.944106168190759</v>
      </c>
      <c r="P123" s="44">
        <f t="shared" ref="P123" si="112">SQRT(M123/J123)</f>
        <v>3.9317578858087918</v>
      </c>
      <c r="Q123" s="45">
        <f t="shared" ref="Q123" si="113">F123/G123</f>
        <v>0.18867924528301888</v>
      </c>
      <c r="R123" s="52">
        <v>3</v>
      </c>
      <c r="S123" s="53">
        <v>0.35184631840544622</v>
      </c>
      <c r="T123" s="53">
        <v>2.3659738927290714</v>
      </c>
      <c r="U123" s="53">
        <v>7.81472776394987</v>
      </c>
      <c r="V123" s="53">
        <f t="shared" ref="V123" si="114">S123/T123</f>
        <v>0.14871098936751298</v>
      </c>
      <c r="W123" s="52">
        <f t="shared" ref="W123" si="115">R123+1</f>
        <v>4</v>
      </c>
      <c r="X123" s="53">
        <v>0.71072302281597644</v>
      </c>
      <c r="Y123" s="53">
        <v>3.3566940013967228</v>
      </c>
      <c r="Z123" s="53">
        <v>9.487729036988851</v>
      </c>
      <c r="AA123" s="53">
        <f t="shared" ref="AA123" si="116">X123/Y123</f>
        <v>0.21173303927025938</v>
      </c>
      <c r="AB123" s="53">
        <f t="shared" ref="AB123" si="117">(Q123-V123)/(AA123-V123)*(W123-R123)+R123</f>
        <v>3.6341947933649195</v>
      </c>
      <c r="AC123" s="53">
        <f t="shared" ref="AC123" si="118">(Q123-V123)/(AA123-V123)*(X123-S123)+S123</f>
        <v>0.57944405580256575</v>
      </c>
      <c r="AD123" s="53">
        <f t="shared" ref="AD123" si="119">(Q123-V123)/(AA123-V123)*(Y123-T123)+T123</f>
        <v>2.994283427328023</v>
      </c>
      <c r="AE123" s="54">
        <f t="shared" ref="AE123" si="120">(Q123-V123)/(AA123-V123)*(Z123-U123)+U123</f>
        <v>8.8757364606040738</v>
      </c>
    </row>
    <row r="124" spans="2:31" ht="15" customHeight="1" x14ac:dyDescent="0.3">
      <c r="B124" s="49">
        <f t="shared" si="56"/>
        <v>113</v>
      </c>
      <c r="C124" s="62" t="s">
        <v>374</v>
      </c>
      <c r="D124" s="112" t="s">
        <v>107</v>
      </c>
      <c r="E124" s="60" t="s">
        <v>204</v>
      </c>
      <c r="F124" s="39">
        <v>0.5</v>
      </c>
      <c r="G124" s="40">
        <v>6.8</v>
      </c>
      <c r="H124" s="40">
        <v>297</v>
      </c>
      <c r="I124" s="120">
        <f t="shared" si="40"/>
        <v>0.99639543813253484</v>
      </c>
      <c r="J124" s="42">
        <f t="shared" si="41"/>
        <v>0.14652874090184337</v>
      </c>
      <c r="K124" s="41">
        <f t="shared" si="42"/>
        <v>6.8245996918098113</v>
      </c>
      <c r="L124" s="43">
        <f t="shared" si="43"/>
        <v>0.34762933219143705</v>
      </c>
      <c r="M124" s="43">
        <f t="shared" si="44"/>
        <v>6.8</v>
      </c>
      <c r="N124" s="43">
        <f t="shared" si="45"/>
        <v>4.7075409673492459</v>
      </c>
      <c r="O124" s="43">
        <f t="shared" si="46"/>
        <v>20.391784080953073</v>
      </c>
      <c r="P124" s="44">
        <f t="shared" si="47"/>
        <v>6.8122887419946254</v>
      </c>
      <c r="Q124" s="45">
        <f t="shared" si="55"/>
        <v>7.3529411764705885E-2</v>
      </c>
      <c r="R124" s="52">
        <v>1</v>
      </c>
      <c r="S124" s="53">
        <v>3.9321400005324098E-3</v>
      </c>
      <c r="T124" s="53">
        <f t="shared" ref="T124:T138" si="121">VLOOKUP(Q124,Upper_Chi_Square,4,1)</f>
        <v>0.4549364250484666</v>
      </c>
      <c r="U124" s="53">
        <v>3.841459149489757</v>
      </c>
      <c r="V124" s="53">
        <f t="shared" si="48"/>
        <v>8.6432736180961992E-3</v>
      </c>
      <c r="W124" s="52">
        <f t="shared" si="49"/>
        <v>2</v>
      </c>
      <c r="X124" s="53">
        <f t="shared" ref="X124:X138" si="122">VLOOKUP(W124,Upper_Chi_Reducida,2,0)</f>
        <v>0.10258658882167279</v>
      </c>
      <c r="Y124" s="53">
        <v>1.3862943760896287</v>
      </c>
      <c r="Z124" s="53">
        <f t="shared" ref="Z124:Z138" si="123">VLOOKUP(W124,Upper_Chi_Reducida,4,0)</f>
        <v>5.9914645471914136</v>
      </c>
      <c r="AA124" s="53">
        <f t="shared" si="50"/>
        <v>7.4000580678284605E-2</v>
      </c>
      <c r="AB124" s="53">
        <f t="shared" si="51"/>
        <v>1.9927908762650697</v>
      </c>
      <c r="AC124" s="53">
        <f t="shared" si="52"/>
        <v>0.10187537669311984</v>
      </c>
      <c r="AD124" s="53">
        <f t="shared" si="53"/>
        <v>1.3795801013790616</v>
      </c>
      <c r="AE124" s="54">
        <f t="shared" si="54"/>
        <v>5.9759648922486139</v>
      </c>
    </row>
    <row r="125" spans="2:31" ht="15" customHeight="1" x14ac:dyDescent="0.3">
      <c r="B125" s="49">
        <f t="shared" si="56"/>
        <v>114</v>
      </c>
      <c r="C125" s="62" t="s">
        <v>374</v>
      </c>
      <c r="D125" s="112" t="s">
        <v>109</v>
      </c>
      <c r="E125" s="60" t="s">
        <v>205</v>
      </c>
      <c r="F125" s="39">
        <v>1</v>
      </c>
      <c r="G125" s="40">
        <v>4</v>
      </c>
      <c r="H125" s="40">
        <v>17</v>
      </c>
      <c r="I125" s="120">
        <f t="shared" si="40"/>
        <v>2.3714772644484672</v>
      </c>
      <c r="J125" s="42">
        <f t="shared" si="41"/>
        <v>0.5928693161121168</v>
      </c>
      <c r="K125" s="41">
        <f t="shared" si="42"/>
        <v>1.6867123543477349</v>
      </c>
      <c r="L125" s="43">
        <f t="shared" si="43"/>
        <v>0.87179826746217948</v>
      </c>
      <c r="M125" s="43">
        <f t="shared" si="44"/>
        <v>4</v>
      </c>
      <c r="N125" s="43">
        <f t="shared" si="45"/>
        <v>3.4541845554826032</v>
      </c>
      <c r="O125" s="43">
        <f t="shared" si="46"/>
        <v>8.993258661015533</v>
      </c>
      <c r="P125" s="44">
        <f t="shared" si="47"/>
        <v>2.5974698106794119</v>
      </c>
      <c r="Q125" s="45">
        <f t="shared" si="55"/>
        <v>0.25</v>
      </c>
      <c r="R125" s="52">
        <v>4</v>
      </c>
      <c r="S125" s="53">
        <v>0.71072302281597644</v>
      </c>
      <c r="T125" s="53">
        <f t="shared" si="121"/>
        <v>3.3566940013967228</v>
      </c>
      <c r="U125" s="53">
        <v>9.487729036988851</v>
      </c>
      <c r="V125" s="53">
        <f t="shared" si="48"/>
        <v>0.21173303927025938</v>
      </c>
      <c r="W125" s="52">
        <f t="shared" si="49"/>
        <v>5</v>
      </c>
      <c r="X125" s="53">
        <f t="shared" si="122"/>
        <v>1.1454762275641139</v>
      </c>
      <c r="Y125" s="53">
        <v>4.3514602221082166</v>
      </c>
      <c r="Z125" s="53">
        <f t="shared" si="123"/>
        <v>11.070497754622684</v>
      </c>
      <c r="AA125" s="53">
        <f t="shared" si="50"/>
        <v>0.26323950331531426</v>
      </c>
      <c r="AB125" s="53">
        <f t="shared" si="51"/>
        <v>4.7429545288969344</v>
      </c>
      <c r="AC125" s="53">
        <f t="shared" si="52"/>
        <v>1.0337248852360612</v>
      </c>
      <c r="AD125" s="53">
        <f t="shared" si="53"/>
        <v>4.0957600702680139</v>
      </c>
      <c r="AE125" s="54">
        <f t="shared" si="54"/>
        <v>10.663654223951299</v>
      </c>
    </row>
    <row r="126" spans="2:31" ht="15" customHeight="1" x14ac:dyDescent="0.3">
      <c r="B126" s="49">
        <f t="shared" si="56"/>
        <v>115</v>
      </c>
      <c r="C126" s="62" t="s">
        <v>374</v>
      </c>
      <c r="D126" s="112" t="s">
        <v>110</v>
      </c>
      <c r="E126" s="60" t="s">
        <v>206</v>
      </c>
      <c r="F126" s="39">
        <v>1</v>
      </c>
      <c r="G126" s="40">
        <v>9.6999999999999993</v>
      </c>
      <c r="H126" s="40">
        <v>36</v>
      </c>
      <c r="I126" s="120">
        <f t="shared" si="40"/>
        <v>1.1946997971051423</v>
      </c>
      <c r="J126" s="42">
        <f t="shared" si="41"/>
        <v>0.12316492753661262</v>
      </c>
      <c r="K126" s="41">
        <f t="shared" si="42"/>
        <v>8.119194481746721</v>
      </c>
      <c r="L126" s="43">
        <f t="shared" si="43"/>
        <v>0.8104913889354215</v>
      </c>
      <c r="M126" s="43">
        <f t="shared" si="44"/>
        <v>9.6999999999999993</v>
      </c>
      <c r="N126" s="43">
        <f t="shared" si="45"/>
        <v>7.176479610235047</v>
      </c>
      <c r="O126" s="43">
        <f t="shared" si="46"/>
        <v>27.205157498848809</v>
      </c>
      <c r="P126" s="44">
        <f t="shared" si="47"/>
        <v>8.8744682360659333</v>
      </c>
      <c r="Q126" s="45">
        <f t="shared" si="55"/>
        <v>0.10309278350515465</v>
      </c>
      <c r="R126" s="52">
        <v>2</v>
      </c>
      <c r="S126" s="53">
        <v>0.10258658882167279</v>
      </c>
      <c r="T126" s="53">
        <f t="shared" si="121"/>
        <v>1.3862943760896287</v>
      </c>
      <c r="U126" s="53">
        <v>5.9914645471914136</v>
      </c>
      <c r="V126" s="53">
        <f t="shared" si="48"/>
        <v>7.4000580678284605E-2</v>
      </c>
      <c r="W126" s="52">
        <f t="shared" si="49"/>
        <v>3</v>
      </c>
      <c r="X126" s="53">
        <f t="shared" si="122"/>
        <v>0.35184631840544622</v>
      </c>
      <c r="Y126" s="53">
        <v>2.3659738927290714</v>
      </c>
      <c r="Z126" s="53">
        <f t="shared" si="123"/>
        <v>7.81472776394987</v>
      </c>
      <c r="AA126" s="53">
        <f t="shared" si="50"/>
        <v>0.14871098936751298</v>
      </c>
      <c r="AB126" s="53">
        <f t="shared" si="51"/>
        <v>2.3893995942102846</v>
      </c>
      <c r="AC126" s="53">
        <f t="shared" si="52"/>
        <v>0.19964822637455942</v>
      </c>
      <c r="AD126" s="53">
        <f t="shared" si="53"/>
        <v>1.7677811823251552</v>
      </c>
      <c r="AE126" s="54">
        <f t="shared" si="54"/>
        <v>6.7014425039356942</v>
      </c>
    </row>
    <row r="127" spans="2:31" ht="15" customHeight="1" x14ac:dyDescent="0.3">
      <c r="B127" s="49">
        <f t="shared" si="56"/>
        <v>116</v>
      </c>
      <c r="C127" s="62" t="s">
        <v>374</v>
      </c>
      <c r="D127" s="112" t="s">
        <v>111</v>
      </c>
      <c r="E127" s="60" t="s">
        <v>207</v>
      </c>
      <c r="F127" s="39">
        <v>0.5</v>
      </c>
      <c r="G127" s="40">
        <v>6.8</v>
      </c>
      <c r="H127" s="40">
        <v>297</v>
      </c>
      <c r="I127" s="120">
        <f t="shared" si="40"/>
        <v>0.99639543813253484</v>
      </c>
      <c r="J127" s="42">
        <f t="shared" si="41"/>
        <v>0.14652874090184337</v>
      </c>
      <c r="K127" s="41">
        <f t="shared" si="42"/>
        <v>6.8245996918098113</v>
      </c>
      <c r="L127" s="43">
        <f t="shared" si="43"/>
        <v>0.34762933219143705</v>
      </c>
      <c r="M127" s="43">
        <f t="shared" si="44"/>
        <v>6.8</v>
      </c>
      <c r="N127" s="43">
        <f t="shared" si="45"/>
        <v>4.7075409673492459</v>
      </c>
      <c r="O127" s="43">
        <f t="shared" si="46"/>
        <v>20.391784080953073</v>
      </c>
      <c r="P127" s="44">
        <f t="shared" si="47"/>
        <v>6.8122887419946254</v>
      </c>
      <c r="Q127" s="45">
        <f t="shared" si="55"/>
        <v>7.3529411764705885E-2</v>
      </c>
      <c r="R127" s="52">
        <v>1</v>
      </c>
      <c r="S127" s="53">
        <v>3.9321400005324098E-3</v>
      </c>
      <c r="T127" s="53">
        <f t="shared" si="121"/>
        <v>0.4549364250484666</v>
      </c>
      <c r="U127" s="53">
        <v>3.841459149489757</v>
      </c>
      <c r="V127" s="53">
        <f t="shared" si="48"/>
        <v>8.6432736180961992E-3</v>
      </c>
      <c r="W127" s="52">
        <f t="shared" si="49"/>
        <v>2</v>
      </c>
      <c r="X127" s="53">
        <f t="shared" si="122"/>
        <v>0.10258658882167279</v>
      </c>
      <c r="Y127" s="53">
        <v>1.3862943760896287</v>
      </c>
      <c r="Z127" s="53">
        <f t="shared" si="123"/>
        <v>5.9914645471914136</v>
      </c>
      <c r="AA127" s="53">
        <f t="shared" si="50"/>
        <v>7.4000580678284605E-2</v>
      </c>
      <c r="AB127" s="53">
        <f t="shared" si="51"/>
        <v>1.9927908762650697</v>
      </c>
      <c r="AC127" s="53">
        <f t="shared" si="52"/>
        <v>0.10187537669311984</v>
      </c>
      <c r="AD127" s="53">
        <f t="shared" si="53"/>
        <v>1.3795801013790616</v>
      </c>
      <c r="AE127" s="54">
        <f t="shared" si="54"/>
        <v>5.9759648922486139</v>
      </c>
    </row>
    <row r="128" spans="2:31" ht="15" customHeight="1" x14ac:dyDescent="0.3">
      <c r="B128" s="49">
        <f t="shared" si="56"/>
        <v>117</v>
      </c>
      <c r="C128" s="62" t="s">
        <v>374</v>
      </c>
      <c r="D128" s="112" t="s">
        <v>112</v>
      </c>
      <c r="E128" s="60" t="s">
        <v>208</v>
      </c>
      <c r="F128" s="39">
        <v>0.5</v>
      </c>
      <c r="G128" s="40">
        <v>6.8</v>
      </c>
      <c r="H128" s="40">
        <v>297</v>
      </c>
      <c r="I128" s="120">
        <f t="shared" si="40"/>
        <v>0.99639543813253484</v>
      </c>
      <c r="J128" s="42">
        <f t="shared" si="41"/>
        <v>0.14652874090184337</v>
      </c>
      <c r="K128" s="41">
        <f t="shared" si="42"/>
        <v>6.8245996918098113</v>
      </c>
      <c r="L128" s="43">
        <f t="shared" si="43"/>
        <v>0.34762933219143705</v>
      </c>
      <c r="M128" s="43">
        <f t="shared" si="44"/>
        <v>6.8</v>
      </c>
      <c r="N128" s="43">
        <f t="shared" si="45"/>
        <v>4.7075409673492459</v>
      </c>
      <c r="O128" s="43">
        <f t="shared" si="46"/>
        <v>20.391784080953073</v>
      </c>
      <c r="P128" s="44">
        <f t="shared" si="47"/>
        <v>6.8122887419946254</v>
      </c>
      <c r="Q128" s="45">
        <f t="shared" si="55"/>
        <v>7.3529411764705885E-2</v>
      </c>
      <c r="R128" s="52">
        <v>1</v>
      </c>
      <c r="S128" s="53">
        <v>3.9321400005324098E-3</v>
      </c>
      <c r="T128" s="53">
        <f t="shared" si="121"/>
        <v>0.4549364250484666</v>
      </c>
      <c r="U128" s="53">
        <v>3.841459149489757</v>
      </c>
      <c r="V128" s="53">
        <f t="shared" si="48"/>
        <v>8.6432736180961992E-3</v>
      </c>
      <c r="W128" s="52">
        <f t="shared" si="49"/>
        <v>2</v>
      </c>
      <c r="X128" s="53">
        <f t="shared" si="122"/>
        <v>0.10258658882167279</v>
      </c>
      <c r="Y128" s="53">
        <v>1.3862943760896287</v>
      </c>
      <c r="Z128" s="53">
        <f t="shared" si="123"/>
        <v>5.9914645471914136</v>
      </c>
      <c r="AA128" s="53">
        <f t="shared" si="50"/>
        <v>7.4000580678284605E-2</v>
      </c>
      <c r="AB128" s="53">
        <f t="shared" si="51"/>
        <v>1.9927908762650697</v>
      </c>
      <c r="AC128" s="53">
        <f t="shared" si="52"/>
        <v>0.10187537669311984</v>
      </c>
      <c r="AD128" s="53">
        <f t="shared" si="53"/>
        <v>1.3795801013790616</v>
      </c>
      <c r="AE128" s="54">
        <f t="shared" si="54"/>
        <v>5.9759648922486139</v>
      </c>
    </row>
    <row r="129" spans="2:31" x14ac:dyDescent="0.3">
      <c r="B129" s="49">
        <f t="shared" si="56"/>
        <v>118</v>
      </c>
      <c r="C129" s="62" t="s">
        <v>374</v>
      </c>
      <c r="D129" s="112" t="s">
        <v>113</v>
      </c>
      <c r="E129" s="60" t="s">
        <v>362</v>
      </c>
      <c r="F129" s="39">
        <v>1</v>
      </c>
      <c r="G129" s="40">
        <v>5.3</v>
      </c>
      <c r="H129" s="40">
        <v>6</v>
      </c>
      <c r="I129" s="120">
        <f t="shared" si="40"/>
        <v>1.8170973966824597</v>
      </c>
      <c r="J129" s="42">
        <f t="shared" si="41"/>
        <v>0.34284856541178488</v>
      </c>
      <c r="K129" s="41">
        <f t="shared" si="42"/>
        <v>2.9167396363433249</v>
      </c>
      <c r="L129" s="43">
        <f t="shared" si="43"/>
        <v>0.84504372230143843</v>
      </c>
      <c r="M129" s="43">
        <f t="shared" si="44"/>
        <v>5.3</v>
      </c>
      <c r="N129" s="43">
        <f t="shared" si="45"/>
        <v>4.3667725774667909</v>
      </c>
      <c r="O129" s="43">
        <f t="shared" si="46"/>
        <v>12.944106168190759</v>
      </c>
      <c r="P129" s="44">
        <f t="shared" si="47"/>
        <v>3.9317578858087918</v>
      </c>
      <c r="Q129" s="45">
        <f t="shared" si="55"/>
        <v>0.18867924528301888</v>
      </c>
      <c r="R129" s="52">
        <v>3</v>
      </c>
      <c r="S129" s="53">
        <v>0.35184631840544622</v>
      </c>
      <c r="T129" s="53">
        <f t="shared" si="121"/>
        <v>2.3659738927290714</v>
      </c>
      <c r="U129" s="53">
        <v>7.81472776394987</v>
      </c>
      <c r="V129" s="53">
        <f t="shared" si="48"/>
        <v>0.14871098936751298</v>
      </c>
      <c r="W129" s="52">
        <f t="shared" si="49"/>
        <v>4</v>
      </c>
      <c r="X129" s="53">
        <f t="shared" si="122"/>
        <v>0.71072302281597644</v>
      </c>
      <c r="Y129" s="53">
        <v>3.3566940013967228</v>
      </c>
      <c r="Z129" s="53">
        <f t="shared" si="123"/>
        <v>9.487729036988851</v>
      </c>
      <c r="AA129" s="53">
        <f t="shared" si="50"/>
        <v>0.21173303927025938</v>
      </c>
      <c r="AB129" s="53">
        <f t="shared" si="51"/>
        <v>3.6341947933649195</v>
      </c>
      <c r="AC129" s="53">
        <f t="shared" si="52"/>
        <v>0.57944405580256575</v>
      </c>
      <c r="AD129" s="53">
        <f t="shared" si="53"/>
        <v>2.994283427328023</v>
      </c>
      <c r="AE129" s="54">
        <f t="shared" si="54"/>
        <v>8.8757364606040738</v>
      </c>
    </row>
    <row r="130" spans="2:31" ht="15" customHeight="1" x14ac:dyDescent="0.3">
      <c r="B130" s="49">
        <f t="shared" si="56"/>
        <v>119</v>
      </c>
      <c r="C130" s="62" t="s">
        <v>374</v>
      </c>
      <c r="D130" s="112" t="s">
        <v>114</v>
      </c>
      <c r="E130" s="60" t="s">
        <v>211</v>
      </c>
      <c r="F130" s="39">
        <v>1</v>
      </c>
      <c r="G130" s="40">
        <v>4</v>
      </c>
      <c r="H130" s="40">
        <v>17</v>
      </c>
      <c r="I130" s="120">
        <f t="shared" si="40"/>
        <v>2.3714772644484672</v>
      </c>
      <c r="J130" s="42">
        <f t="shared" si="41"/>
        <v>0.5928693161121168</v>
      </c>
      <c r="K130" s="41">
        <f t="shared" si="42"/>
        <v>1.6867123543477349</v>
      </c>
      <c r="L130" s="43">
        <f t="shared" si="43"/>
        <v>0.87179826746217948</v>
      </c>
      <c r="M130" s="43">
        <f t="shared" si="44"/>
        <v>4</v>
      </c>
      <c r="N130" s="43">
        <f t="shared" si="45"/>
        <v>3.4541845554826032</v>
      </c>
      <c r="O130" s="43">
        <f t="shared" si="46"/>
        <v>8.993258661015533</v>
      </c>
      <c r="P130" s="44">
        <f t="shared" si="47"/>
        <v>2.5974698106794119</v>
      </c>
      <c r="Q130" s="45">
        <f t="shared" si="55"/>
        <v>0.25</v>
      </c>
      <c r="R130" s="52">
        <v>4</v>
      </c>
      <c r="S130" s="53">
        <v>0.71072302281597644</v>
      </c>
      <c r="T130" s="53">
        <f t="shared" si="121"/>
        <v>3.3566940013967228</v>
      </c>
      <c r="U130" s="53">
        <v>9.487729036988851</v>
      </c>
      <c r="V130" s="53">
        <f t="shared" si="48"/>
        <v>0.21173303927025938</v>
      </c>
      <c r="W130" s="52">
        <f t="shared" si="49"/>
        <v>5</v>
      </c>
      <c r="X130" s="53">
        <f t="shared" si="122"/>
        <v>1.1454762275641139</v>
      </c>
      <c r="Y130" s="53">
        <v>4.3514602221082166</v>
      </c>
      <c r="Z130" s="53">
        <f t="shared" si="123"/>
        <v>11.070497754622684</v>
      </c>
      <c r="AA130" s="53">
        <f t="shared" si="50"/>
        <v>0.26323950331531426</v>
      </c>
      <c r="AB130" s="53">
        <f t="shared" si="51"/>
        <v>4.7429545288969344</v>
      </c>
      <c r="AC130" s="53">
        <f t="shared" si="52"/>
        <v>1.0337248852360612</v>
      </c>
      <c r="AD130" s="53">
        <f t="shared" si="53"/>
        <v>4.0957600702680139</v>
      </c>
      <c r="AE130" s="54">
        <f t="shared" si="54"/>
        <v>10.663654223951299</v>
      </c>
    </row>
    <row r="131" spans="2:31" ht="15" customHeight="1" x14ac:dyDescent="0.3">
      <c r="B131" s="49">
        <f t="shared" si="56"/>
        <v>120</v>
      </c>
      <c r="C131" s="62" t="s">
        <v>374</v>
      </c>
      <c r="D131" s="112" t="s">
        <v>115</v>
      </c>
      <c r="E131" s="60" t="s">
        <v>187</v>
      </c>
      <c r="F131" s="39">
        <v>1</v>
      </c>
      <c r="G131" s="40">
        <v>3.1</v>
      </c>
      <c r="H131" s="40">
        <v>6</v>
      </c>
      <c r="I131" s="120">
        <f t="shared" si="40"/>
        <v>3.2348589594942467</v>
      </c>
      <c r="J131" s="42">
        <f t="shared" si="41"/>
        <v>1.0435028901594343</v>
      </c>
      <c r="K131" s="41">
        <f t="shared" si="42"/>
        <v>0.9583107142589824</v>
      </c>
      <c r="L131" s="43">
        <f t="shared" si="43"/>
        <v>0.9033311533281102</v>
      </c>
      <c r="M131" s="43">
        <f t="shared" si="44"/>
        <v>3.1000000000000005</v>
      </c>
      <c r="N131" s="43">
        <f t="shared" si="45"/>
        <v>2.7871288222681176</v>
      </c>
      <c r="O131" s="43">
        <f t="shared" si="46"/>
        <v>6.365426077212649</v>
      </c>
      <c r="P131" s="44">
        <f t="shared" si="47"/>
        <v>1.7235902106367529</v>
      </c>
      <c r="Q131" s="45">
        <f t="shared" si="55"/>
        <v>0.32258064516129031</v>
      </c>
      <c r="R131" s="52">
        <v>6</v>
      </c>
      <c r="S131" s="53">
        <v>1.6353828954369192</v>
      </c>
      <c r="T131" s="53">
        <f t="shared" si="121"/>
        <v>5.3481208434097312</v>
      </c>
      <c r="U131" s="53">
        <v>12.591587244072656</v>
      </c>
      <c r="V131" s="53">
        <f t="shared" si="48"/>
        <v>0.30578645160049706</v>
      </c>
      <c r="W131" s="52">
        <f t="shared" si="49"/>
        <v>7</v>
      </c>
      <c r="X131" s="53">
        <f t="shared" si="122"/>
        <v>2.1673499186219098</v>
      </c>
      <c r="Y131" s="53">
        <v>6.3458113725816272</v>
      </c>
      <c r="Z131" s="53">
        <f t="shared" si="123"/>
        <v>14.067140433005996</v>
      </c>
      <c r="AA131" s="53">
        <f t="shared" si="50"/>
        <v>0.34154023675938233</v>
      </c>
      <c r="AB131" s="53">
        <f t="shared" si="51"/>
        <v>6.4697179189884935</v>
      </c>
      <c r="AC131" s="53">
        <f t="shared" si="52"/>
        <v>1.8852573385378764</v>
      </c>
      <c r="AD131" s="53">
        <f t="shared" si="53"/>
        <v>5.8167539625668825</v>
      </c>
      <c r="AE131" s="54">
        <f t="shared" si="54"/>
        <v>13.284681017335259</v>
      </c>
    </row>
    <row r="132" spans="2:31" x14ac:dyDescent="0.3">
      <c r="B132" s="49">
        <f t="shared" si="56"/>
        <v>121</v>
      </c>
      <c r="C132" s="62" t="s">
        <v>374</v>
      </c>
      <c r="D132" s="112" t="s">
        <v>116</v>
      </c>
      <c r="E132" s="60" t="s">
        <v>362</v>
      </c>
      <c r="F132" s="39">
        <v>1</v>
      </c>
      <c r="G132" s="40">
        <v>5.3</v>
      </c>
      <c r="H132" s="40">
        <v>6</v>
      </c>
      <c r="I132" s="120">
        <f t="shared" si="40"/>
        <v>1.8170973966824597</v>
      </c>
      <c r="J132" s="42">
        <f t="shared" si="41"/>
        <v>0.34284856541178488</v>
      </c>
      <c r="K132" s="41">
        <f t="shared" si="42"/>
        <v>2.9167396363433249</v>
      </c>
      <c r="L132" s="43">
        <f t="shared" si="43"/>
        <v>0.84504372230143843</v>
      </c>
      <c r="M132" s="43">
        <f t="shared" si="44"/>
        <v>5.3</v>
      </c>
      <c r="N132" s="43">
        <f t="shared" si="45"/>
        <v>4.3667725774667909</v>
      </c>
      <c r="O132" s="43">
        <f t="shared" si="46"/>
        <v>12.944106168190759</v>
      </c>
      <c r="P132" s="44">
        <f t="shared" si="47"/>
        <v>3.9317578858087918</v>
      </c>
      <c r="Q132" s="45">
        <f t="shared" si="55"/>
        <v>0.18867924528301888</v>
      </c>
      <c r="R132" s="52">
        <v>3</v>
      </c>
      <c r="S132" s="53">
        <v>0.35184631840544622</v>
      </c>
      <c r="T132" s="53">
        <f t="shared" si="121"/>
        <v>2.3659738927290714</v>
      </c>
      <c r="U132" s="53">
        <v>7.81472776394987</v>
      </c>
      <c r="V132" s="53">
        <f t="shared" si="48"/>
        <v>0.14871098936751298</v>
      </c>
      <c r="W132" s="52">
        <f t="shared" si="49"/>
        <v>4</v>
      </c>
      <c r="X132" s="53">
        <f t="shared" si="122"/>
        <v>0.71072302281597644</v>
      </c>
      <c r="Y132" s="53">
        <v>3.3566940013967228</v>
      </c>
      <c r="Z132" s="53">
        <f t="shared" si="123"/>
        <v>9.487729036988851</v>
      </c>
      <c r="AA132" s="53">
        <f t="shared" si="50"/>
        <v>0.21173303927025938</v>
      </c>
      <c r="AB132" s="53">
        <f t="shared" si="51"/>
        <v>3.6341947933649195</v>
      </c>
      <c r="AC132" s="53">
        <f t="shared" si="52"/>
        <v>0.57944405580256575</v>
      </c>
      <c r="AD132" s="53">
        <f t="shared" si="53"/>
        <v>2.994283427328023</v>
      </c>
      <c r="AE132" s="54">
        <f t="shared" si="54"/>
        <v>8.8757364606040738</v>
      </c>
    </row>
    <row r="133" spans="2:31" ht="15" customHeight="1" x14ac:dyDescent="0.3">
      <c r="B133" s="49">
        <f t="shared" si="56"/>
        <v>122</v>
      </c>
      <c r="C133" s="62" t="s">
        <v>375</v>
      </c>
      <c r="D133" s="112" t="s">
        <v>117</v>
      </c>
      <c r="E133" s="60" t="s">
        <v>212</v>
      </c>
      <c r="F133" s="39">
        <v>0.5</v>
      </c>
      <c r="G133" s="40">
        <v>6.8</v>
      </c>
      <c r="H133" s="40">
        <v>297</v>
      </c>
      <c r="I133" s="120">
        <f t="shared" si="40"/>
        <v>0.99639543813253484</v>
      </c>
      <c r="J133" s="42">
        <f t="shared" si="41"/>
        <v>0.14652874090184337</v>
      </c>
      <c r="K133" s="41">
        <f t="shared" si="42"/>
        <v>6.8245996918098113</v>
      </c>
      <c r="L133" s="43">
        <f t="shared" si="43"/>
        <v>0.34762933219143705</v>
      </c>
      <c r="M133" s="43">
        <f t="shared" si="44"/>
        <v>6.8</v>
      </c>
      <c r="N133" s="43">
        <f t="shared" si="45"/>
        <v>4.7075409673492459</v>
      </c>
      <c r="O133" s="43">
        <f t="shared" si="46"/>
        <v>20.391784080953073</v>
      </c>
      <c r="P133" s="44">
        <f t="shared" si="47"/>
        <v>6.8122887419946254</v>
      </c>
      <c r="Q133" s="45">
        <f t="shared" si="55"/>
        <v>7.3529411764705885E-2</v>
      </c>
      <c r="R133" s="52">
        <v>1</v>
      </c>
      <c r="S133" s="53">
        <v>3.9321400005324098E-3</v>
      </c>
      <c r="T133" s="53">
        <f t="shared" si="121"/>
        <v>0.4549364250484666</v>
      </c>
      <c r="U133" s="53">
        <v>3.841459149489757</v>
      </c>
      <c r="V133" s="53">
        <f t="shared" si="48"/>
        <v>8.6432736180961992E-3</v>
      </c>
      <c r="W133" s="52">
        <f t="shared" si="49"/>
        <v>2</v>
      </c>
      <c r="X133" s="53">
        <f t="shared" si="122"/>
        <v>0.10258658882167279</v>
      </c>
      <c r="Y133" s="53">
        <v>1.3862943760896287</v>
      </c>
      <c r="Z133" s="53">
        <f t="shared" si="123"/>
        <v>5.9914645471914136</v>
      </c>
      <c r="AA133" s="53">
        <f t="shared" si="50"/>
        <v>7.4000580678284605E-2</v>
      </c>
      <c r="AB133" s="53">
        <f t="shared" si="51"/>
        <v>1.9927908762650697</v>
      </c>
      <c r="AC133" s="53">
        <f t="shared" si="52"/>
        <v>0.10187537669311984</v>
      </c>
      <c r="AD133" s="53">
        <f t="shared" si="53"/>
        <v>1.3795801013790616</v>
      </c>
      <c r="AE133" s="54">
        <f t="shared" si="54"/>
        <v>5.9759648922486139</v>
      </c>
    </row>
    <row r="134" spans="2:31" ht="15" customHeight="1" x14ac:dyDescent="0.3">
      <c r="B134" s="49">
        <f t="shared" si="56"/>
        <v>123</v>
      </c>
      <c r="C134" s="62" t="s">
        <v>375</v>
      </c>
      <c r="D134" s="112" t="s">
        <v>118</v>
      </c>
      <c r="E134" s="60" t="s">
        <v>213</v>
      </c>
      <c r="F134" s="39">
        <v>0.5</v>
      </c>
      <c r="G134" s="40">
        <v>6.8</v>
      </c>
      <c r="H134" s="40">
        <v>297</v>
      </c>
      <c r="I134" s="120">
        <f t="shared" si="40"/>
        <v>0.99639543813253484</v>
      </c>
      <c r="J134" s="42">
        <f t="shared" si="41"/>
        <v>0.14652874090184337</v>
      </c>
      <c r="K134" s="41">
        <f t="shared" si="42"/>
        <v>6.8245996918098113</v>
      </c>
      <c r="L134" s="43">
        <f t="shared" si="43"/>
        <v>0.34762933219143705</v>
      </c>
      <c r="M134" s="43">
        <f t="shared" si="44"/>
        <v>6.8</v>
      </c>
      <c r="N134" s="43">
        <f t="shared" si="45"/>
        <v>4.7075409673492459</v>
      </c>
      <c r="O134" s="43">
        <f t="shared" si="46"/>
        <v>20.391784080953073</v>
      </c>
      <c r="P134" s="44">
        <f t="shared" si="47"/>
        <v>6.8122887419946254</v>
      </c>
      <c r="Q134" s="45">
        <f t="shared" si="55"/>
        <v>7.3529411764705885E-2</v>
      </c>
      <c r="R134" s="52">
        <v>1</v>
      </c>
      <c r="S134" s="53">
        <v>3.9321400005324098E-3</v>
      </c>
      <c r="T134" s="53">
        <f t="shared" si="121"/>
        <v>0.4549364250484666</v>
      </c>
      <c r="U134" s="53">
        <v>3.841459149489757</v>
      </c>
      <c r="V134" s="53">
        <f t="shared" si="48"/>
        <v>8.6432736180961992E-3</v>
      </c>
      <c r="W134" s="52">
        <f t="shared" si="49"/>
        <v>2</v>
      </c>
      <c r="X134" s="53">
        <f t="shared" si="122"/>
        <v>0.10258658882167279</v>
      </c>
      <c r="Y134" s="53">
        <v>1.3862943760896287</v>
      </c>
      <c r="Z134" s="53">
        <f t="shared" si="123"/>
        <v>5.9914645471914136</v>
      </c>
      <c r="AA134" s="53">
        <f t="shared" si="50"/>
        <v>7.4000580678284605E-2</v>
      </c>
      <c r="AB134" s="53">
        <f t="shared" si="51"/>
        <v>1.9927908762650697</v>
      </c>
      <c r="AC134" s="53">
        <f t="shared" si="52"/>
        <v>0.10187537669311984</v>
      </c>
      <c r="AD134" s="53">
        <f t="shared" si="53"/>
        <v>1.3795801013790616</v>
      </c>
      <c r="AE134" s="54">
        <f t="shared" si="54"/>
        <v>5.9759648922486139</v>
      </c>
    </row>
    <row r="135" spans="2:31" ht="15" customHeight="1" x14ac:dyDescent="0.3">
      <c r="B135" s="49">
        <f t="shared" si="56"/>
        <v>124</v>
      </c>
      <c r="C135" s="62" t="s">
        <v>375</v>
      </c>
      <c r="D135" s="112" t="s">
        <v>119</v>
      </c>
      <c r="E135" s="60" t="s">
        <v>376</v>
      </c>
      <c r="F135" s="39">
        <v>0.5</v>
      </c>
      <c r="G135" s="40">
        <v>6.8</v>
      </c>
      <c r="H135" s="40">
        <v>297</v>
      </c>
      <c r="I135" s="120">
        <f t="shared" si="40"/>
        <v>0.99639543813253484</v>
      </c>
      <c r="J135" s="42">
        <f t="shared" si="41"/>
        <v>0.14652874090184337</v>
      </c>
      <c r="K135" s="41">
        <f t="shared" si="42"/>
        <v>6.8245996918098113</v>
      </c>
      <c r="L135" s="43">
        <f t="shared" si="43"/>
        <v>0.34762933219143705</v>
      </c>
      <c r="M135" s="43">
        <f t="shared" si="44"/>
        <v>6.8</v>
      </c>
      <c r="N135" s="43">
        <f t="shared" si="45"/>
        <v>4.7075409673492459</v>
      </c>
      <c r="O135" s="43">
        <f t="shared" si="46"/>
        <v>20.391784080953073</v>
      </c>
      <c r="P135" s="44">
        <f t="shared" si="47"/>
        <v>6.8122887419946254</v>
      </c>
      <c r="Q135" s="45">
        <f t="shared" si="55"/>
        <v>7.3529411764705885E-2</v>
      </c>
      <c r="R135" s="52">
        <v>1</v>
      </c>
      <c r="S135" s="53">
        <v>3.9321400005324098E-3</v>
      </c>
      <c r="T135" s="53">
        <f t="shared" si="121"/>
        <v>0.4549364250484666</v>
      </c>
      <c r="U135" s="53">
        <v>3.841459149489757</v>
      </c>
      <c r="V135" s="53">
        <f t="shared" si="48"/>
        <v>8.6432736180961992E-3</v>
      </c>
      <c r="W135" s="52">
        <f t="shared" si="49"/>
        <v>2</v>
      </c>
      <c r="X135" s="53">
        <f t="shared" si="122"/>
        <v>0.10258658882167279</v>
      </c>
      <c r="Y135" s="53">
        <v>1.3862943760896287</v>
      </c>
      <c r="Z135" s="53">
        <f t="shared" si="123"/>
        <v>5.9914645471914136</v>
      </c>
      <c r="AA135" s="53">
        <f t="shared" si="50"/>
        <v>7.4000580678284605E-2</v>
      </c>
      <c r="AB135" s="53">
        <f t="shared" si="51"/>
        <v>1.9927908762650697</v>
      </c>
      <c r="AC135" s="53">
        <f t="shared" si="52"/>
        <v>0.10187537669311984</v>
      </c>
      <c r="AD135" s="53">
        <f t="shared" si="53"/>
        <v>1.3795801013790616</v>
      </c>
      <c r="AE135" s="54">
        <f t="shared" si="54"/>
        <v>5.9759648922486139</v>
      </c>
    </row>
    <row r="136" spans="2:31" ht="15" customHeight="1" x14ac:dyDescent="0.3">
      <c r="B136" s="49">
        <f t="shared" si="56"/>
        <v>125</v>
      </c>
      <c r="C136" s="62" t="s">
        <v>375</v>
      </c>
      <c r="D136" s="112" t="s">
        <v>120</v>
      </c>
      <c r="E136" s="60" t="s">
        <v>214</v>
      </c>
      <c r="F136" s="39">
        <v>0.5</v>
      </c>
      <c r="G136" s="61">
        <v>10</v>
      </c>
      <c r="H136" s="61">
        <v>407</v>
      </c>
      <c r="I136" s="120">
        <f t="shared" si="40"/>
        <v>0.81638946157786041</v>
      </c>
      <c r="J136" s="42">
        <f t="shared" si="41"/>
        <v>8.1638946157786038E-2</v>
      </c>
      <c r="K136" s="41">
        <f t="shared" si="42"/>
        <v>12.249055714992572</v>
      </c>
      <c r="L136" s="43">
        <f t="shared" si="43"/>
        <v>0.40641506911322406</v>
      </c>
      <c r="M136" s="43">
        <f t="shared" si="44"/>
        <v>10</v>
      </c>
      <c r="N136" s="43">
        <f t="shared" si="45"/>
        <v>6.3957226025584655</v>
      </c>
      <c r="O136" s="43">
        <f t="shared" si="46"/>
        <v>31.859409599509394</v>
      </c>
      <c r="P136" s="44">
        <f t="shared" si="47"/>
        <v>11.067545217884845</v>
      </c>
      <c r="Q136" s="45">
        <f t="shared" si="55"/>
        <v>0.05</v>
      </c>
      <c r="R136" s="52">
        <v>1</v>
      </c>
      <c r="S136" s="53">
        <v>3.9321400005324098E-3</v>
      </c>
      <c r="T136" s="53">
        <f t="shared" si="121"/>
        <v>0.4549364250484666</v>
      </c>
      <c r="U136" s="53">
        <v>3.841459149489757</v>
      </c>
      <c r="V136" s="53">
        <f t="shared" si="48"/>
        <v>8.6432736180961992E-3</v>
      </c>
      <c r="W136" s="52">
        <f t="shared" si="49"/>
        <v>2</v>
      </c>
      <c r="X136" s="53">
        <f t="shared" si="122"/>
        <v>0.10258658882167279</v>
      </c>
      <c r="Y136" s="53">
        <v>1.3862943760896287</v>
      </c>
      <c r="Z136" s="53">
        <f t="shared" si="123"/>
        <v>5.9914645471914136</v>
      </c>
      <c r="AA136" s="53">
        <f t="shared" si="50"/>
        <v>7.4000580678284605E-2</v>
      </c>
      <c r="AB136" s="53">
        <f t="shared" si="51"/>
        <v>1.6327789231557208</v>
      </c>
      <c r="AC136" s="53">
        <f t="shared" si="52"/>
        <v>6.6358595890094782E-2</v>
      </c>
      <c r="AD136" s="53">
        <f t="shared" si="53"/>
        <v>1.0442801063808116</v>
      </c>
      <c r="AE136" s="54">
        <f t="shared" si="54"/>
        <v>5.2019372498263987</v>
      </c>
    </row>
    <row r="137" spans="2:31" x14ac:dyDescent="0.3">
      <c r="B137" s="49">
        <f t="shared" si="56"/>
        <v>126</v>
      </c>
      <c r="C137" s="62" t="s">
        <v>375</v>
      </c>
      <c r="D137" s="112" t="s">
        <v>121</v>
      </c>
      <c r="E137" s="60" t="s">
        <v>362</v>
      </c>
      <c r="F137" s="39">
        <v>1</v>
      </c>
      <c r="G137" s="40">
        <v>5.3</v>
      </c>
      <c r="H137" s="40">
        <v>10</v>
      </c>
      <c r="I137" s="120">
        <f t="shared" si="40"/>
        <v>1.8170973966824597</v>
      </c>
      <c r="J137" s="42">
        <f t="shared" si="41"/>
        <v>0.34284856541178488</v>
      </c>
      <c r="K137" s="41">
        <f t="shared" si="42"/>
        <v>2.9167396363433249</v>
      </c>
      <c r="L137" s="43">
        <f t="shared" si="43"/>
        <v>0.84504372230143843</v>
      </c>
      <c r="M137" s="43">
        <f t="shared" si="44"/>
        <v>5.3</v>
      </c>
      <c r="N137" s="43">
        <f t="shared" si="45"/>
        <v>4.3667725774667909</v>
      </c>
      <c r="O137" s="43">
        <f t="shared" si="46"/>
        <v>12.944106168190759</v>
      </c>
      <c r="P137" s="44">
        <f t="shared" si="47"/>
        <v>3.9317578858087918</v>
      </c>
      <c r="Q137" s="45">
        <f t="shared" si="55"/>
        <v>0.18867924528301888</v>
      </c>
      <c r="R137" s="52">
        <v>3</v>
      </c>
      <c r="S137" s="53">
        <v>0.35184631840544622</v>
      </c>
      <c r="T137" s="53">
        <f t="shared" si="121"/>
        <v>2.3659738927290714</v>
      </c>
      <c r="U137" s="53">
        <v>7.81472776394987</v>
      </c>
      <c r="V137" s="53">
        <f t="shared" si="48"/>
        <v>0.14871098936751298</v>
      </c>
      <c r="W137" s="52">
        <f t="shared" si="49"/>
        <v>4</v>
      </c>
      <c r="X137" s="53">
        <f t="shared" si="122"/>
        <v>0.71072302281597644</v>
      </c>
      <c r="Y137" s="53">
        <v>3.3566940013967228</v>
      </c>
      <c r="Z137" s="53">
        <f t="shared" si="123"/>
        <v>9.487729036988851</v>
      </c>
      <c r="AA137" s="53">
        <f t="shared" si="50"/>
        <v>0.21173303927025938</v>
      </c>
      <c r="AB137" s="53">
        <f t="shared" si="51"/>
        <v>3.6341947933649195</v>
      </c>
      <c r="AC137" s="53">
        <f t="shared" si="52"/>
        <v>0.57944405580256575</v>
      </c>
      <c r="AD137" s="53">
        <f t="shared" si="53"/>
        <v>2.994283427328023</v>
      </c>
      <c r="AE137" s="54">
        <f t="shared" si="54"/>
        <v>8.8757364606040738</v>
      </c>
    </row>
    <row r="138" spans="2:31" ht="15" customHeight="1" x14ac:dyDescent="0.3">
      <c r="B138" s="49">
        <f t="shared" si="56"/>
        <v>127</v>
      </c>
      <c r="C138" s="62" t="s">
        <v>375</v>
      </c>
      <c r="D138" s="112" t="s">
        <v>122</v>
      </c>
      <c r="E138" s="60" t="s">
        <v>215</v>
      </c>
      <c r="F138" s="39">
        <v>1</v>
      </c>
      <c r="G138" s="40">
        <v>4</v>
      </c>
      <c r="H138" s="40">
        <v>17</v>
      </c>
      <c r="I138" s="120">
        <f t="shared" si="40"/>
        <v>2.3714772644484672</v>
      </c>
      <c r="J138" s="42">
        <f t="shared" si="41"/>
        <v>0.5928693161121168</v>
      </c>
      <c r="K138" s="41">
        <f t="shared" si="42"/>
        <v>1.6867123543477349</v>
      </c>
      <c r="L138" s="43">
        <f t="shared" si="43"/>
        <v>0.87179826746217948</v>
      </c>
      <c r="M138" s="43">
        <f t="shared" si="44"/>
        <v>4</v>
      </c>
      <c r="N138" s="43">
        <f t="shared" si="45"/>
        <v>3.4541845554826032</v>
      </c>
      <c r="O138" s="43">
        <f t="shared" si="46"/>
        <v>8.993258661015533</v>
      </c>
      <c r="P138" s="44">
        <f t="shared" si="47"/>
        <v>2.5974698106794119</v>
      </c>
      <c r="Q138" s="45">
        <f t="shared" si="55"/>
        <v>0.25</v>
      </c>
      <c r="R138" s="52">
        <v>4</v>
      </c>
      <c r="S138" s="53">
        <v>0.71072302281597644</v>
      </c>
      <c r="T138" s="53">
        <f t="shared" si="121"/>
        <v>3.3566940013967228</v>
      </c>
      <c r="U138" s="53">
        <v>9.487729036988851</v>
      </c>
      <c r="V138" s="53">
        <f t="shared" si="48"/>
        <v>0.21173303927025938</v>
      </c>
      <c r="W138" s="52">
        <f t="shared" si="49"/>
        <v>5</v>
      </c>
      <c r="X138" s="53">
        <f t="shared" si="122"/>
        <v>1.1454762275641139</v>
      </c>
      <c r="Y138" s="53">
        <v>4.3514602221082166</v>
      </c>
      <c r="Z138" s="53">
        <f t="shared" si="123"/>
        <v>11.070497754622684</v>
      </c>
      <c r="AA138" s="53">
        <f t="shared" si="50"/>
        <v>0.26323950331531426</v>
      </c>
      <c r="AB138" s="53">
        <f t="shared" si="51"/>
        <v>4.7429545288969344</v>
      </c>
      <c r="AC138" s="53">
        <f t="shared" si="52"/>
        <v>1.0337248852360612</v>
      </c>
      <c r="AD138" s="53">
        <f t="shared" si="53"/>
        <v>4.0957600702680139</v>
      </c>
      <c r="AE138" s="54">
        <f t="shared" si="54"/>
        <v>10.663654223951299</v>
      </c>
    </row>
    <row r="139" spans="2:31" ht="15" customHeight="1" x14ac:dyDescent="0.3">
      <c r="B139" s="49">
        <f t="shared" si="56"/>
        <v>128</v>
      </c>
      <c r="C139" s="62" t="s">
        <v>375</v>
      </c>
      <c r="D139" s="112" t="s">
        <v>123</v>
      </c>
      <c r="E139" s="60" t="s">
        <v>215</v>
      </c>
      <c r="F139" s="39">
        <v>1</v>
      </c>
      <c r="G139" s="40">
        <v>4</v>
      </c>
      <c r="H139" s="40">
        <v>17</v>
      </c>
      <c r="I139" s="120">
        <f t="shared" si="40"/>
        <v>2.3714772644484672</v>
      </c>
      <c r="J139" s="42">
        <f t="shared" si="41"/>
        <v>0.5928693161121168</v>
      </c>
      <c r="K139" s="41">
        <f t="shared" si="42"/>
        <v>1.6867123543477349</v>
      </c>
      <c r="L139" s="43">
        <f t="shared" si="43"/>
        <v>0.87179826746217948</v>
      </c>
      <c r="M139" s="43">
        <f t="shared" si="44"/>
        <v>4</v>
      </c>
      <c r="N139" s="43">
        <f t="shared" si="45"/>
        <v>3.4541845554826032</v>
      </c>
      <c r="O139" s="43">
        <f t="shared" si="46"/>
        <v>8.993258661015533</v>
      </c>
      <c r="P139" s="44">
        <f t="shared" si="47"/>
        <v>2.5974698106794119</v>
      </c>
      <c r="Q139" s="45">
        <f t="shared" si="55"/>
        <v>0.25</v>
      </c>
      <c r="R139" s="52">
        <v>4</v>
      </c>
      <c r="S139" s="53">
        <v>0.71072302281597644</v>
      </c>
      <c r="T139" s="53">
        <v>3.3566940013967228</v>
      </c>
      <c r="U139" s="53">
        <v>9.487729036988851</v>
      </c>
      <c r="V139" s="53">
        <f t="shared" si="48"/>
        <v>0.21173303927025938</v>
      </c>
      <c r="W139" s="52">
        <f t="shared" si="49"/>
        <v>5</v>
      </c>
      <c r="X139" s="53">
        <v>1.1454762275641139</v>
      </c>
      <c r="Y139" s="53">
        <v>4.3514602221082166</v>
      </c>
      <c r="Z139" s="53">
        <v>11.070497754622684</v>
      </c>
      <c r="AA139" s="53">
        <f t="shared" si="50"/>
        <v>0.26323950331531426</v>
      </c>
      <c r="AB139" s="53">
        <f t="shared" si="51"/>
        <v>4.7429545288969344</v>
      </c>
      <c r="AC139" s="53">
        <f t="shared" si="52"/>
        <v>1.0337248852360612</v>
      </c>
      <c r="AD139" s="53">
        <f t="shared" si="53"/>
        <v>4.0957600702680139</v>
      </c>
      <c r="AE139" s="54">
        <f t="shared" si="54"/>
        <v>10.663654223951299</v>
      </c>
    </row>
    <row r="140" spans="2:31" ht="15" customHeight="1" x14ac:dyDescent="0.3">
      <c r="B140" s="49">
        <f t="shared" si="56"/>
        <v>129</v>
      </c>
      <c r="C140" s="62" t="s">
        <v>375</v>
      </c>
      <c r="D140" s="112" t="s">
        <v>124</v>
      </c>
      <c r="E140" s="60" t="s">
        <v>216</v>
      </c>
      <c r="F140" s="39">
        <v>0.3</v>
      </c>
      <c r="G140" s="40">
        <v>11</v>
      </c>
      <c r="H140" s="40">
        <v>136</v>
      </c>
      <c r="I140" s="120">
        <f t="shared" ref="I140:I181" si="124">AB140/2</f>
        <v>0.64252005240573151</v>
      </c>
      <c r="J140" s="42">
        <f t="shared" ref="J140:J181" si="125">I140/G140</f>
        <v>5.8410913855066499E-2</v>
      </c>
      <c r="K140" s="41">
        <f t="shared" ref="K140:K181" si="126">1/J140</f>
        <v>17.120088250652511</v>
      </c>
      <c r="L140" s="43">
        <f t="shared" ref="L140:L181" si="127">1/2/J140*AC140</f>
        <v>0.27437179387535948</v>
      </c>
      <c r="M140" s="43">
        <f t="shared" ref="M140:M181" si="128">I140/J140</f>
        <v>11</v>
      </c>
      <c r="N140" s="43">
        <f t="shared" ref="N140:N181" si="129">1/2/J140*AD140</f>
        <v>6.1667481767000387</v>
      </c>
      <c r="O140" s="43">
        <f t="shared" ref="O140:O181" si="130">1/2/J140*AE140</f>
        <v>38.128978125972999</v>
      </c>
      <c r="P140" s="44">
        <f t="shared" ref="P140:P181" si="131">SQRT(M140/J140)</f>
        <v>13.723008808463895</v>
      </c>
      <c r="Q140" s="45">
        <f t="shared" si="55"/>
        <v>2.7272727272727271E-2</v>
      </c>
      <c r="R140" s="52">
        <v>1</v>
      </c>
      <c r="S140" s="53">
        <v>3.9321400005324098E-3</v>
      </c>
      <c r="T140" s="53">
        <v>0.4549364250484666</v>
      </c>
      <c r="U140" s="53">
        <v>3.841459149489757</v>
      </c>
      <c r="V140" s="53">
        <f t="shared" ref="V140:V181" si="132">S140/T140</f>
        <v>8.6432736180961992E-3</v>
      </c>
      <c r="W140" s="52">
        <f t="shared" ref="W140:W181" si="133">R140+1</f>
        <v>2</v>
      </c>
      <c r="X140" s="53">
        <v>0.10258658882167279</v>
      </c>
      <c r="Y140" s="53">
        <v>1.3862943760896287</v>
      </c>
      <c r="Z140" s="53">
        <v>5.9914645471914136</v>
      </c>
      <c r="AA140" s="53">
        <f t="shared" ref="AA140:AA181" si="134">X140/Y140</f>
        <v>7.4000580678284605E-2</v>
      </c>
      <c r="AB140" s="53">
        <f t="shared" ref="AB140:AB181" si="135">(Q140-V140)/(AA140-V140)*(W140-R140)+R140</f>
        <v>1.285040104811463</v>
      </c>
      <c r="AC140" s="53">
        <f t="shared" ref="AC140:AC181" si="136">(Q140-V140)/(AA140-V140)*(X140-S140)+S140</f>
        <v>3.2052614432627372E-2</v>
      </c>
      <c r="AD140" s="53">
        <f t="shared" ref="AD140:AD181" si="137">(Q140-V140)/(AA140-V140)*(Y140-T140)+T140</f>
        <v>0.72041079303022881</v>
      </c>
      <c r="AE140" s="54">
        <f t="shared" ref="AE140:AE181" si="138">(Q140-V140)/(AA140-V140)*(Z140-U140)+U140</f>
        <v>4.4542969133958481</v>
      </c>
    </row>
    <row r="141" spans="2:31" ht="15" customHeight="1" x14ac:dyDescent="0.3">
      <c r="B141" s="49">
        <f t="shared" si="56"/>
        <v>130</v>
      </c>
      <c r="C141" s="62" t="s">
        <v>375</v>
      </c>
      <c r="D141" s="112" t="s">
        <v>125</v>
      </c>
      <c r="E141" s="60" t="s">
        <v>216</v>
      </c>
      <c r="F141" s="39">
        <v>0.3</v>
      </c>
      <c r="G141" s="40">
        <v>11</v>
      </c>
      <c r="H141" s="40">
        <v>136</v>
      </c>
      <c r="I141" s="120">
        <f t="shared" si="124"/>
        <v>0.64252005240573151</v>
      </c>
      <c r="J141" s="42">
        <f t="shared" si="125"/>
        <v>5.8410913855066499E-2</v>
      </c>
      <c r="K141" s="41">
        <f t="shared" si="126"/>
        <v>17.120088250652511</v>
      </c>
      <c r="L141" s="43">
        <f t="shared" si="127"/>
        <v>0.27437179387535948</v>
      </c>
      <c r="M141" s="43">
        <f t="shared" si="128"/>
        <v>11</v>
      </c>
      <c r="N141" s="43">
        <f t="shared" si="129"/>
        <v>6.1667481767000387</v>
      </c>
      <c r="O141" s="43">
        <f t="shared" si="130"/>
        <v>38.128978125972999</v>
      </c>
      <c r="P141" s="44">
        <f t="shared" si="131"/>
        <v>13.723008808463895</v>
      </c>
      <c r="Q141" s="45">
        <f t="shared" ref="Q141:Q181" si="139">F141/G141</f>
        <v>2.7272727272727271E-2</v>
      </c>
      <c r="R141" s="52">
        <v>1</v>
      </c>
      <c r="S141" s="53">
        <v>3.9321400005324098E-3</v>
      </c>
      <c r="T141" s="53">
        <v>0.4549364250484666</v>
      </c>
      <c r="U141" s="53">
        <v>3.841459149489757</v>
      </c>
      <c r="V141" s="53">
        <f t="shared" si="132"/>
        <v>8.6432736180961992E-3</v>
      </c>
      <c r="W141" s="52">
        <f t="shared" si="133"/>
        <v>2</v>
      </c>
      <c r="X141" s="53">
        <v>0.10258658882167279</v>
      </c>
      <c r="Y141" s="53">
        <v>1.3862943760896287</v>
      </c>
      <c r="Z141" s="53">
        <v>5.9914645471914136</v>
      </c>
      <c r="AA141" s="53">
        <f t="shared" si="134"/>
        <v>7.4000580678284605E-2</v>
      </c>
      <c r="AB141" s="53">
        <f t="shared" si="135"/>
        <v>1.285040104811463</v>
      </c>
      <c r="AC141" s="53">
        <f t="shared" si="136"/>
        <v>3.2052614432627372E-2</v>
      </c>
      <c r="AD141" s="53">
        <f t="shared" si="137"/>
        <v>0.72041079303022881</v>
      </c>
      <c r="AE141" s="54">
        <f t="shared" si="138"/>
        <v>4.4542969133958481</v>
      </c>
    </row>
    <row r="142" spans="2:31" ht="15" customHeight="1" x14ac:dyDescent="0.3">
      <c r="B142" s="49">
        <f t="shared" ref="B142:B181" si="140">1+B141</f>
        <v>131</v>
      </c>
      <c r="C142" s="62" t="s">
        <v>375</v>
      </c>
      <c r="D142" s="112" t="s">
        <v>126</v>
      </c>
      <c r="E142" s="60" t="s">
        <v>217</v>
      </c>
      <c r="F142" s="39"/>
      <c r="G142" s="40"/>
      <c r="H142" s="40"/>
      <c r="I142" s="120" t="e">
        <f t="shared" si="124"/>
        <v>#DIV/0!</v>
      </c>
      <c r="J142" s="42" t="e">
        <f t="shared" si="125"/>
        <v>#DIV/0!</v>
      </c>
      <c r="K142" s="41" t="e">
        <f t="shared" si="126"/>
        <v>#DIV/0!</v>
      </c>
      <c r="L142" s="43" t="e">
        <f t="shared" si="127"/>
        <v>#DIV/0!</v>
      </c>
      <c r="M142" s="43" t="e">
        <f t="shared" si="128"/>
        <v>#DIV/0!</v>
      </c>
      <c r="N142" s="43" t="e">
        <f t="shared" si="129"/>
        <v>#DIV/0!</v>
      </c>
      <c r="O142" s="43" t="e">
        <f t="shared" si="130"/>
        <v>#DIV/0!</v>
      </c>
      <c r="P142" s="44" t="e">
        <f t="shared" si="131"/>
        <v>#DIV/0!</v>
      </c>
      <c r="Q142" s="45" t="e">
        <f t="shared" si="139"/>
        <v>#DIV/0!</v>
      </c>
      <c r="R142" s="52" t="e">
        <v>#DIV/0!</v>
      </c>
      <c r="S142" s="53" t="e">
        <v>#DIV/0!</v>
      </c>
      <c r="T142" s="53" t="e">
        <v>#DIV/0!</v>
      </c>
      <c r="U142" s="53" t="e">
        <v>#DIV/0!</v>
      </c>
      <c r="V142" s="53" t="e">
        <f t="shared" si="132"/>
        <v>#DIV/0!</v>
      </c>
      <c r="W142" s="52" t="e">
        <f t="shared" si="133"/>
        <v>#DIV/0!</v>
      </c>
      <c r="X142" s="53" t="e">
        <v>#DIV/0!</v>
      </c>
      <c r="Y142" s="53" t="e">
        <v>#DIV/0!</v>
      </c>
      <c r="Z142" s="53" t="e">
        <v>#DIV/0!</v>
      </c>
      <c r="AA142" s="53" t="e">
        <f t="shared" si="134"/>
        <v>#DIV/0!</v>
      </c>
      <c r="AB142" s="53" t="e">
        <f t="shared" si="135"/>
        <v>#DIV/0!</v>
      </c>
      <c r="AC142" s="53" t="e">
        <f t="shared" si="136"/>
        <v>#DIV/0!</v>
      </c>
      <c r="AD142" s="53" t="e">
        <f t="shared" si="137"/>
        <v>#DIV/0!</v>
      </c>
      <c r="AE142" s="54" t="e">
        <f t="shared" si="138"/>
        <v>#DIV/0!</v>
      </c>
    </row>
    <row r="143" spans="2:31" ht="15" customHeight="1" x14ac:dyDescent="0.3">
      <c r="B143" s="49">
        <f t="shared" si="140"/>
        <v>132</v>
      </c>
      <c r="C143" s="62" t="s">
        <v>377</v>
      </c>
      <c r="D143" s="112" t="s">
        <v>128</v>
      </c>
      <c r="E143" s="60" t="s">
        <v>218</v>
      </c>
      <c r="F143" s="39">
        <v>0.5</v>
      </c>
      <c r="G143" s="40">
        <v>6.8</v>
      </c>
      <c r="H143" s="40">
        <v>297</v>
      </c>
      <c r="I143" s="120">
        <f t="shared" si="124"/>
        <v>0.99639543813253484</v>
      </c>
      <c r="J143" s="42">
        <f t="shared" si="125"/>
        <v>0.14652874090184337</v>
      </c>
      <c r="K143" s="41">
        <f t="shared" si="126"/>
        <v>6.8245996918098113</v>
      </c>
      <c r="L143" s="43">
        <f t="shared" si="127"/>
        <v>0.34762933219143705</v>
      </c>
      <c r="M143" s="43">
        <f t="shared" si="128"/>
        <v>6.8</v>
      </c>
      <c r="N143" s="43">
        <f t="shared" si="129"/>
        <v>4.7075409673492459</v>
      </c>
      <c r="O143" s="43">
        <f t="shared" si="130"/>
        <v>20.391784080953073</v>
      </c>
      <c r="P143" s="44">
        <f t="shared" si="131"/>
        <v>6.8122887419946254</v>
      </c>
      <c r="Q143" s="45">
        <f t="shared" si="139"/>
        <v>7.3529411764705885E-2</v>
      </c>
      <c r="R143" s="52">
        <v>1</v>
      </c>
      <c r="S143" s="53">
        <v>3.9321400005324098E-3</v>
      </c>
      <c r="T143" s="53">
        <v>0.4549364250484666</v>
      </c>
      <c r="U143" s="53">
        <v>3.841459149489757</v>
      </c>
      <c r="V143" s="53">
        <f t="shared" si="132"/>
        <v>8.6432736180961992E-3</v>
      </c>
      <c r="W143" s="52">
        <f t="shared" si="133"/>
        <v>2</v>
      </c>
      <c r="X143" s="53">
        <v>0.10258658882167279</v>
      </c>
      <c r="Y143" s="53">
        <v>1.3862943760896287</v>
      </c>
      <c r="Z143" s="53">
        <v>5.9914645471914136</v>
      </c>
      <c r="AA143" s="53">
        <f t="shared" si="134"/>
        <v>7.4000580678284605E-2</v>
      </c>
      <c r="AB143" s="53">
        <f t="shared" si="135"/>
        <v>1.9927908762650697</v>
      </c>
      <c r="AC143" s="53">
        <f t="shared" si="136"/>
        <v>0.10187537669311984</v>
      </c>
      <c r="AD143" s="53">
        <f t="shared" si="137"/>
        <v>1.3795801013790616</v>
      </c>
      <c r="AE143" s="54">
        <f t="shared" si="138"/>
        <v>5.9759648922486139</v>
      </c>
    </row>
    <row r="144" spans="2:31" ht="15" customHeight="1" x14ac:dyDescent="0.3">
      <c r="B144" s="49">
        <f t="shared" si="140"/>
        <v>133</v>
      </c>
      <c r="C144" s="62" t="s">
        <v>377</v>
      </c>
      <c r="D144" s="112" t="s">
        <v>129</v>
      </c>
      <c r="E144" s="60" t="s">
        <v>218</v>
      </c>
      <c r="F144" s="39">
        <v>0.5</v>
      </c>
      <c r="G144" s="40">
        <v>6.8</v>
      </c>
      <c r="H144" s="40">
        <v>297</v>
      </c>
      <c r="I144" s="120">
        <f t="shared" si="124"/>
        <v>0.99639543813253484</v>
      </c>
      <c r="J144" s="42">
        <f t="shared" si="125"/>
        <v>0.14652874090184337</v>
      </c>
      <c r="K144" s="41">
        <f t="shared" si="126"/>
        <v>6.8245996918098113</v>
      </c>
      <c r="L144" s="43">
        <f t="shared" si="127"/>
        <v>0.34762933219143705</v>
      </c>
      <c r="M144" s="43">
        <f t="shared" si="128"/>
        <v>6.8</v>
      </c>
      <c r="N144" s="43">
        <f t="shared" si="129"/>
        <v>4.7075409673492459</v>
      </c>
      <c r="O144" s="43">
        <f t="shared" si="130"/>
        <v>20.391784080953073</v>
      </c>
      <c r="P144" s="44">
        <f t="shared" si="131"/>
        <v>6.8122887419946254</v>
      </c>
      <c r="Q144" s="45">
        <f t="shared" si="139"/>
        <v>7.3529411764705885E-2</v>
      </c>
      <c r="R144" s="52">
        <v>1</v>
      </c>
      <c r="S144" s="53">
        <v>3.9321400005324098E-3</v>
      </c>
      <c r="T144" s="53">
        <v>0.4549364250484666</v>
      </c>
      <c r="U144" s="53">
        <v>3.841459149489757</v>
      </c>
      <c r="V144" s="53">
        <f t="shared" si="132"/>
        <v>8.6432736180961992E-3</v>
      </c>
      <c r="W144" s="52">
        <f t="shared" si="133"/>
        <v>2</v>
      </c>
      <c r="X144" s="53">
        <v>0.10258658882167279</v>
      </c>
      <c r="Y144" s="53">
        <v>1.3862943760896287</v>
      </c>
      <c r="Z144" s="53">
        <v>5.9914645471914136</v>
      </c>
      <c r="AA144" s="53">
        <f t="shared" si="134"/>
        <v>7.4000580678284605E-2</v>
      </c>
      <c r="AB144" s="53">
        <f t="shared" si="135"/>
        <v>1.9927908762650697</v>
      </c>
      <c r="AC144" s="53">
        <f t="shared" si="136"/>
        <v>0.10187537669311984</v>
      </c>
      <c r="AD144" s="53">
        <f t="shared" si="137"/>
        <v>1.3795801013790616</v>
      </c>
      <c r="AE144" s="54">
        <f t="shared" si="138"/>
        <v>5.9759648922486139</v>
      </c>
    </row>
    <row r="145" spans="2:31" ht="15" customHeight="1" x14ac:dyDescent="0.3">
      <c r="B145" s="49">
        <f t="shared" si="140"/>
        <v>134</v>
      </c>
      <c r="C145" s="62" t="s">
        <v>377</v>
      </c>
      <c r="D145" s="112" t="s">
        <v>130</v>
      </c>
      <c r="E145" s="60" t="s">
        <v>219</v>
      </c>
      <c r="F145" s="39">
        <v>0.5</v>
      </c>
      <c r="G145" s="61">
        <v>10</v>
      </c>
      <c r="H145" s="61">
        <v>407</v>
      </c>
      <c r="I145" s="120">
        <f t="shared" si="124"/>
        <v>0.81638946157786041</v>
      </c>
      <c r="J145" s="42">
        <f t="shared" si="125"/>
        <v>8.1638946157786038E-2</v>
      </c>
      <c r="K145" s="41">
        <f t="shared" si="126"/>
        <v>12.249055714992572</v>
      </c>
      <c r="L145" s="43">
        <f t="shared" si="127"/>
        <v>0.40641506911322406</v>
      </c>
      <c r="M145" s="43">
        <f t="shared" si="128"/>
        <v>10</v>
      </c>
      <c r="N145" s="43">
        <f t="shared" si="129"/>
        <v>6.3957226025584655</v>
      </c>
      <c r="O145" s="43">
        <f t="shared" si="130"/>
        <v>31.859409599509394</v>
      </c>
      <c r="P145" s="44">
        <f t="shared" si="131"/>
        <v>11.067545217884845</v>
      </c>
      <c r="Q145" s="45">
        <f t="shared" si="139"/>
        <v>0.05</v>
      </c>
      <c r="R145" s="52">
        <v>1</v>
      </c>
      <c r="S145" s="53">
        <v>3.9321400005324098E-3</v>
      </c>
      <c r="T145" s="53">
        <v>0.4549364250484666</v>
      </c>
      <c r="U145" s="53">
        <v>3.841459149489757</v>
      </c>
      <c r="V145" s="53">
        <f t="shared" si="132"/>
        <v>8.6432736180961992E-3</v>
      </c>
      <c r="W145" s="52">
        <f t="shared" si="133"/>
        <v>2</v>
      </c>
      <c r="X145" s="53">
        <v>0.10258658882167279</v>
      </c>
      <c r="Y145" s="53">
        <v>1.3862943760896287</v>
      </c>
      <c r="Z145" s="53">
        <v>5.9914645471914136</v>
      </c>
      <c r="AA145" s="53">
        <f t="shared" si="134"/>
        <v>7.4000580678284605E-2</v>
      </c>
      <c r="AB145" s="53">
        <f t="shared" si="135"/>
        <v>1.6327789231557208</v>
      </c>
      <c r="AC145" s="53">
        <f t="shared" si="136"/>
        <v>6.6358595890094782E-2</v>
      </c>
      <c r="AD145" s="53">
        <f t="shared" si="137"/>
        <v>1.0442801063808116</v>
      </c>
      <c r="AE145" s="54">
        <f t="shared" si="138"/>
        <v>5.2019372498263987</v>
      </c>
    </row>
    <row r="146" spans="2:31" x14ac:dyDescent="0.3">
      <c r="B146" s="49">
        <f t="shared" si="140"/>
        <v>135</v>
      </c>
      <c r="C146" s="62" t="s">
        <v>377</v>
      </c>
      <c r="D146" s="112" t="s">
        <v>131</v>
      </c>
      <c r="E146" s="60" t="s">
        <v>362</v>
      </c>
      <c r="F146" s="39">
        <v>1</v>
      </c>
      <c r="G146" s="40">
        <v>5.3</v>
      </c>
      <c r="H146" s="40">
        <v>6</v>
      </c>
      <c r="I146" s="120">
        <f t="shared" si="124"/>
        <v>1.8170973966824597</v>
      </c>
      <c r="J146" s="42">
        <f t="shared" si="125"/>
        <v>0.34284856541178488</v>
      </c>
      <c r="K146" s="41">
        <f t="shared" si="126"/>
        <v>2.9167396363433249</v>
      </c>
      <c r="L146" s="43">
        <f t="shared" si="127"/>
        <v>0.84504372230143843</v>
      </c>
      <c r="M146" s="43">
        <f t="shared" si="128"/>
        <v>5.3</v>
      </c>
      <c r="N146" s="43">
        <f t="shared" si="129"/>
        <v>4.3667725774667909</v>
      </c>
      <c r="O146" s="43">
        <f t="shared" si="130"/>
        <v>12.944106168190759</v>
      </c>
      <c r="P146" s="44">
        <f t="shared" si="131"/>
        <v>3.9317578858087918</v>
      </c>
      <c r="Q146" s="45">
        <f t="shared" si="139"/>
        <v>0.18867924528301888</v>
      </c>
      <c r="R146" s="52">
        <v>3</v>
      </c>
      <c r="S146" s="53">
        <v>0.35184631840544622</v>
      </c>
      <c r="T146" s="53">
        <v>2.3659738927290714</v>
      </c>
      <c r="U146" s="53">
        <v>7.81472776394987</v>
      </c>
      <c r="V146" s="53">
        <f t="shared" si="132"/>
        <v>0.14871098936751298</v>
      </c>
      <c r="W146" s="52">
        <f t="shared" si="133"/>
        <v>4</v>
      </c>
      <c r="X146" s="53">
        <v>0.71072302281597644</v>
      </c>
      <c r="Y146" s="53">
        <v>3.3566940013967228</v>
      </c>
      <c r="Z146" s="53">
        <v>9.487729036988851</v>
      </c>
      <c r="AA146" s="53">
        <f t="shared" si="134"/>
        <v>0.21173303927025938</v>
      </c>
      <c r="AB146" s="53">
        <f t="shared" si="135"/>
        <v>3.6341947933649195</v>
      </c>
      <c r="AC146" s="53">
        <f t="shared" si="136"/>
        <v>0.57944405580256575</v>
      </c>
      <c r="AD146" s="53">
        <f t="shared" si="137"/>
        <v>2.994283427328023</v>
      </c>
      <c r="AE146" s="54">
        <f t="shared" si="138"/>
        <v>8.8757364606040738</v>
      </c>
    </row>
    <row r="147" spans="2:31" ht="15" customHeight="1" x14ac:dyDescent="0.3">
      <c r="B147" s="49">
        <f t="shared" si="140"/>
        <v>136</v>
      </c>
      <c r="C147" s="62" t="s">
        <v>377</v>
      </c>
      <c r="D147" s="112" t="s">
        <v>132</v>
      </c>
      <c r="E147" s="60" t="s">
        <v>220</v>
      </c>
      <c r="F147" s="39"/>
      <c r="G147" s="40"/>
      <c r="H147" s="40"/>
      <c r="I147" s="120" t="e">
        <f t="shared" si="124"/>
        <v>#DIV/0!</v>
      </c>
      <c r="J147" s="42" t="e">
        <f t="shared" si="125"/>
        <v>#DIV/0!</v>
      </c>
      <c r="K147" s="41" t="e">
        <f t="shared" si="126"/>
        <v>#DIV/0!</v>
      </c>
      <c r="L147" s="43" t="e">
        <f t="shared" si="127"/>
        <v>#DIV/0!</v>
      </c>
      <c r="M147" s="43" t="e">
        <f t="shared" si="128"/>
        <v>#DIV/0!</v>
      </c>
      <c r="N147" s="43" t="e">
        <f t="shared" si="129"/>
        <v>#DIV/0!</v>
      </c>
      <c r="O147" s="43" t="e">
        <f t="shared" si="130"/>
        <v>#DIV/0!</v>
      </c>
      <c r="P147" s="44" t="e">
        <f t="shared" si="131"/>
        <v>#DIV/0!</v>
      </c>
      <c r="Q147" s="45" t="e">
        <f t="shared" si="139"/>
        <v>#DIV/0!</v>
      </c>
      <c r="R147" s="52" t="e">
        <v>#DIV/0!</v>
      </c>
      <c r="S147" s="53" t="e">
        <v>#DIV/0!</v>
      </c>
      <c r="T147" s="53" t="e">
        <v>#DIV/0!</v>
      </c>
      <c r="U147" s="53" t="e">
        <v>#DIV/0!</v>
      </c>
      <c r="V147" s="53" t="e">
        <f t="shared" si="132"/>
        <v>#DIV/0!</v>
      </c>
      <c r="W147" s="52" t="e">
        <f t="shared" si="133"/>
        <v>#DIV/0!</v>
      </c>
      <c r="X147" s="53" t="e">
        <v>#DIV/0!</v>
      </c>
      <c r="Y147" s="53" t="e">
        <v>#DIV/0!</v>
      </c>
      <c r="Z147" s="53" t="e">
        <v>#DIV/0!</v>
      </c>
      <c r="AA147" s="53" t="e">
        <f t="shared" si="134"/>
        <v>#DIV/0!</v>
      </c>
      <c r="AB147" s="53" t="e">
        <f t="shared" si="135"/>
        <v>#DIV/0!</v>
      </c>
      <c r="AC147" s="53" t="e">
        <f t="shared" si="136"/>
        <v>#DIV/0!</v>
      </c>
      <c r="AD147" s="53" t="e">
        <f t="shared" si="137"/>
        <v>#DIV/0!</v>
      </c>
      <c r="AE147" s="54" t="e">
        <f t="shared" si="138"/>
        <v>#DIV/0!</v>
      </c>
    </row>
    <row r="148" spans="2:31" ht="15" customHeight="1" x14ac:dyDescent="0.3">
      <c r="B148" s="49">
        <f t="shared" si="140"/>
        <v>137</v>
      </c>
      <c r="C148" s="62" t="s">
        <v>377</v>
      </c>
      <c r="D148" s="112" t="s">
        <v>133</v>
      </c>
      <c r="E148" s="60" t="s">
        <v>221</v>
      </c>
      <c r="F148" s="39">
        <v>0.3</v>
      </c>
      <c r="G148" s="40">
        <v>11</v>
      </c>
      <c r="H148" s="40">
        <v>136</v>
      </c>
      <c r="I148" s="120">
        <f t="shared" si="124"/>
        <v>0.64252005240573151</v>
      </c>
      <c r="J148" s="42">
        <f t="shared" si="125"/>
        <v>5.8410913855066499E-2</v>
      </c>
      <c r="K148" s="41">
        <f t="shared" si="126"/>
        <v>17.120088250652511</v>
      </c>
      <c r="L148" s="43">
        <f t="shared" si="127"/>
        <v>0.27437179387535948</v>
      </c>
      <c r="M148" s="43">
        <f t="shared" si="128"/>
        <v>11</v>
      </c>
      <c r="N148" s="43">
        <f t="shared" si="129"/>
        <v>6.1667481767000387</v>
      </c>
      <c r="O148" s="43">
        <f t="shared" si="130"/>
        <v>38.128978125972999</v>
      </c>
      <c r="P148" s="44">
        <f t="shared" si="131"/>
        <v>13.723008808463895</v>
      </c>
      <c r="Q148" s="45">
        <f t="shared" si="139"/>
        <v>2.7272727272727271E-2</v>
      </c>
      <c r="R148" s="52">
        <v>1</v>
      </c>
      <c r="S148" s="53">
        <v>3.9321400005324098E-3</v>
      </c>
      <c r="T148" s="53">
        <v>0.4549364250484666</v>
      </c>
      <c r="U148" s="53">
        <v>3.841459149489757</v>
      </c>
      <c r="V148" s="53">
        <f t="shared" si="132"/>
        <v>8.6432736180961992E-3</v>
      </c>
      <c r="W148" s="52">
        <f t="shared" si="133"/>
        <v>2</v>
      </c>
      <c r="X148" s="53">
        <v>0.10258658882167279</v>
      </c>
      <c r="Y148" s="53">
        <v>1.3862943760896287</v>
      </c>
      <c r="Z148" s="53">
        <v>5.9914645471914136</v>
      </c>
      <c r="AA148" s="53">
        <f t="shared" si="134"/>
        <v>7.4000580678284605E-2</v>
      </c>
      <c r="AB148" s="53">
        <f t="shared" si="135"/>
        <v>1.285040104811463</v>
      </c>
      <c r="AC148" s="53">
        <f t="shared" si="136"/>
        <v>3.2052614432627372E-2</v>
      </c>
      <c r="AD148" s="53">
        <f t="shared" si="137"/>
        <v>0.72041079303022881</v>
      </c>
      <c r="AE148" s="54">
        <f t="shared" si="138"/>
        <v>4.4542969133958481</v>
      </c>
    </row>
    <row r="149" spans="2:31" ht="15" customHeight="1" x14ac:dyDescent="0.3">
      <c r="B149" s="49">
        <f t="shared" si="140"/>
        <v>138</v>
      </c>
      <c r="C149" s="62" t="s">
        <v>377</v>
      </c>
      <c r="D149" s="112" t="s">
        <v>134</v>
      </c>
      <c r="E149" s="60" t="s">
        <v>221</v>
      </c>
      <c r="F149" s="39">
        <v>0.3</v>
      </c>
      <c r="G149" s="40">
        <v>11</v>
      </c>
      <c r="H149" s="40">
        <v>136</v>
      </c>
      <c r="I149" s="120">
        <f t="shared" si="124"/>
        <v>0.64252005240573151</v>
      </c>
      <c r="J149" s="42">
        <f t="shared" si="125"/>
        <v>5.8410913855066499E-2</v>
      </c>
      <c r="K149" s="41">
        <f t="shared" si="126"/>
        <v>17.120088250652511</v>
      </c>
      <c r="L149" s="43">
        <f t="shared" si="127"/>
        <v>0.27437179387535948</v>
      </c>
      <c r="M149" s="43">
        <f t="shared" si="128"/>
        <v>11</v>
      </c>
      <c r="N149" s="43">
        <f t="shared" si="129"/>
        <v>6.1667481767000387</v>
      </c>
      <c r="O149" s="43">
        <f t="shared" si="130"/>
        <v>38.128978125972999</v>
      </c>
      <c r="P149" s="44">
        <f t="shared" si="131"/>
        <v>13.723008808463895</v>
      </c>
      <c r="Q149" s="45">
        <f t="shared" si="139"/>
        <v>2.7272727272727271E-2</v>
      </c>
      <c r="R149" s="52">
        <v>1</v>
      </c>
      <c r="S149" s="53">
        <v>3.9321400005324098E-3</v>
      </c>
      <c r="T149" s="53">
        <v>0.4549364250484666</v>
      </c>
      <c r="U149" s="53">
        <v>3.841459149489757</v>
      </c>
      <c r="V149" s="53">
        <f t="shared" si="132"/>
        <v>8.6432736180961992E-3</v>
      </c>
      <c r="W149" s="52">
        <f t="shared" si="133"/>
        <v>2</v>
      </c>
      <c r="X149" s="53">
        <v>0.10258658882167279</v>
      </c>
      <c r="Y149" s="53">
        <v>1.3862943760896287</v>
      </c>
      <c r="Z149" s="53">
        <v>5.9914645471914136</v>
      </c>
      <c r="AA149" s="53">
        <f t="shared" si="134"/>
        <v>7.4000580678284605E-2</v>
      </c>
      <c r="AB149" s="53">
        <f t="shared" si="135"/>
        <v>1.285040104811463</v>
      </c>
      <c r="AC149" s="53">
        <f t="shared" si="136"/>
        <v>3.2052614432627372E-2</v>
      </c>
      <c r="AD149" s="53">
        <f t="shared" si="137"/>
        <v>0.72041079303022881</v>
      </c>
      <c r="AE149" s="54">
        <f t="shared" si="138"/>
        <v>4.4542969133958481</v>
      </c>
    </row>
    <row r="150" spans="2:31" ht="15" customHeight="1" x14ac:dyDescent="0.3">
      <c r="B150" s="49">
        <f t="shared" si="140"/>
        <v>139</v>
      </c>
      <c r="C150" s="62" t="s">
        <v>377</v>
      </c>
      <c r="D150" s="112" t="s">
        <v>135</v>
      </c>
      <c r="E150" s="60" t="s">
        <v>378</v>
      </c>
      <c r="F150" s="39">
        <v>1</v>
      </c>
      <c r="G150" s="40">
        <v>9.6</v>
      </c>
      <c r="H150" s="40">
        <v>125</v>
      </c>
      <c r="I150" s="120">
        <f t="shared" si="124"/>
        <v>1.2018867686419936</v>
      </c>
      <c r="J150" s="42">
        <f t="shared" si="125"/>
        <v>0.12519653840020767</v>
      </c>
      <c r="K150" s="41">
        <f t="shared" si="126"/>
        <v>7.9874412885391823</v>
      </c>
      <c r="L150" s="43">
        <f t="shared" si="127"/>
        <v>0.81164812595899194</v>
      </c>
      <c r="M150" s="43">
        <f t="shared" si="128"/>
        <v>9.6</v>
      </c>
      <c r="N150" s="43">
        <f t="shared" si="129"/>
        <v>7.1162632078206389</v>
      </c>
      <c r="O150" s="43">
        <f t="shared" si="130"/>
        <v>26.868354634997626</v>
      </c>
      <c r="P150" s="44">
        <f t="shared" si="131"/>
        <v>8.7566795287926436</v>
      </c>
      <c r="Q150" s="45">
        <f t="shared" si="139"/>
        <v>0.10416666666666667</v>
      </c>
      <c r="R150" s="52">
        <v>2</v>
      </c>
      <c r="S150" s="53">
        <v>0.10258658882167279</v>
      </c>
      <c r="T150" s="53">
        <v>1.3862943760896287</v>
      </c>
      <c r="U150" s="53">
        <v>5.9914645471914136</v>
      </c>
      <c r="V150" s="53">
        <f t="shared" si="132"/>
        <v>7.4000580678284605E-2</v>
      </c>
      <c r="W150" s="52">
        <f t="shared" si="133"/>
        <v>3</v>
      </c>
      <c r="X150" s="53">
        <v>0.35184631840544622</v>
      </c>
      <c r="Y150" s="53">
        <v>2.3659738927290714</v>
      </c>
      <c r="Z150" s="53">
        <v>7.81472776394987</v>
      </c>
      <c r="AA150" s="53">
        <f t="shared" si="134"/>
        <v>0.14871098936751298</v>
      </c>
      <c r="AB150" s="53">
        <f t="shared" si="135"/>
        <v>2.4037735372839872</v>
      </c>
      <c r="AC150" s="53">
        <f t="shared" si="136"/>
        <v>0.20323107153816306</v>
      </c>
      <c r="AD150" s="53">
        <f t="shared" si="137"/>
        <v>1.7818630399278033</v>
      </c>
      <c r="AE150" s="54">
        <f t="shared" si="138"/>
        <v>6.7276499856217562</v>
      </c>
    </row>
    <row r="151" spans="2:31" ht="15" customHeight="1" x14ac:dyDescent="0.3">
      <c r="B151" s="49">
        <f t="shared" si="140"/>
        <v>140</v>
      </c>
      <c r="C151" s="62" t="s">
        <v>377</v>
      </c>
      <c r="D151" s="112" t="s">
        <v>136</v>
      </c>
      <c r="E151" s="60" t="s">
        <v>222</v>
      </c>
      <c r="F151" s="39"/>
      <c r="G151" s="40"/>
      <c r="H151" s="40"/>
      <c r="I151" s="120" t="e">
        <f t="shared" si="124"/>
        <v>#DIV/0!</v>
      </c>
      <c r="J151" s="42" t="e">
        <f t="shared" si="125"/>
        <v>#DIV/0!</v>
      </c>
      <c r="K151" s="41" t="e">
        <f t="shared" si="126"/>
        <v>#DIV/0!</v>
      </c>
      <c r="L151" s="43" t="e">
        <f t="shared" si="127"/>
        <v>#DIV/0!</v>
      </c>
      <c r="M151" s="43" t="e">
        <f t="shared" si="128"/>
        <v>#DIV/0!</v>
      </c>
      <c r="N151" s="43" t="e">
        <f t="shared" si="129"/>
        <v>#DIV/0!</v>
      </c>
      <c r="O151" s="43" t="e">
        <f t="shared" si="130"/>
        <v>#DIV/0!</v>
      </c>
      <c r="P151" s="44" t="e">
        <f t="shared" si="131"/>
        <v>#DIV/0!</v>
      </c>
      <c r="Q151" s="45" t="e">
        <f t="shared" si="139"/>
        <v>#DIV/0!</v>
      </c>
      <c r="R151" s="52" t="e">
        <v>#DIV/0!</v>
      </c>
      <c r="S151" s="53" t="e">
        <v>#DIV/0!</v>
      </c>
      <c r="T151" s="53" t="e">
        <v>#DIV/0!</v>
      </c>
      <c r="U151" s="53" t="e">
        <v>#DIV/0!</v>
      </c>
      <c r="V151" s="53" t="e">
        <f t="shared" si="132"/>
        <v>#DIV/0!</v>
      </c>
      <c r="W151" s="52" t="e">
        <f t="shared" si="133"/>
        <v>#DIV/0!</v>
      </c>
      <c r="X151" s="53" t="e">
        <v>#DIV/0!</v>
      </c>
      <c r="Y151" s="53" t="e">
        <v>#DIV/0!</v>
      </c>
      <c r="Z151" s="53" t="e">
        <v>#DIV/0!</v>
      </c>
      <c r="AA151" s="53" t="e">
        <f t="shared" si="134"/>
        <v>#DIV/0!</v>
      </c>
      <c r="AB151" s="53" t="e">
        <f t="shared" si="135"/>
        <v>#DIV/0!</v>
      </c>
      <c r="AC151" s="53" t="e">
        <f t="shared" si="136"/>
        <v>#DIV/0!</v>
      </c>
      <c r="AD151" s="53" t="e">
        <f t="shared" si="137"/>
        <v>#DIV/0!</v>
      </c>
      <c r="AE151" s="54" t="e">
        <f t="shared" si="138"/>
        <v>#DIV/0!</v>
      </c>
    </row>
    <row r="152" spans="2:31" ht="15" customHeight="1" x14ac:dyDescent="0.3">
      <c r="B152" s="49">
        <f t="shared" si="140"/>
        <v>141</v>
      </c>
      <c r="C152" s="62" t="s">
        <v>377</v>
      </c>
      <c r="D152" s="112" t="s">
        <v>137</v>
      </c>
      <c r="E152" s="60" t="s">
        <v>223</v>
      </c>
      <c r="F152" s="39">
        <v>0.3</v>
      </c>
      <c r="G152" s="40">
        <v>11</v>
      </c>
      <c r="H152" s="40">
        <v>136</v>
      </c>
      <c r="I152" s="120">
        <f t="shared" si="124"/>
        <v>0.64252005240573151</v>
      </c>
      <c r="J152" s="42">
        <f t="shared" si="125"/>
        <v>5.8410913855066499E-2</v>
      </c>
      <c r="K152" s="41">
        <f t="shared" si="126"/>
        <v>17.120088250652511</v>
      </c>
      <c r="L152" s="43">
        <f t="shared" si="127"/>
        <v>0.27437179387535948</v>
      </c>
      <c r="M152" s="43">
        <f t="shared" si="128"/>
        <v>11</v>
      </c>
      <c r="N152" s="43">
        <f t="shared" si="129"/>
        <v>6.1667481767000387</v>
      </c>
      <c r="O152" s="43">
        <f t="shared" si="130"/>
        <v>38.128978125972999</v>
      </c>
      <c r="P152" s="44">
        <f t="shared" si="131"/>
        <v>13.723008808463895</v>
      </c>
      <c r="Q152" s="45">
        <f t="shared" si="139"/>
        <v>2.7272727272727271E-2</v>
      </c>
      <c r="R152" s="52">
        <v>1</v>
      </c>
      <c r="S152" s="53">
        <v>3.9321400005324098E-3</v>
      </c>
      <c r="T152" s="53">
        <v>0.4549364250484666</v>
      </c>
      <c r="U152" s="53">
        <v>3.841459149489757</v>
      </c>
      <c r="V152" s="53">
        <f t="shared" si="132"/>
        <v>8.6432736180961992E-3</v>
      </c>
      <c r="W152" s="52">
        <f t="shared" si="133"/>
        <v>2</v>
      </c>
      <c r="X152" s="53">
        <v>0.10258658882167279</v>
      </c>
      <c r="Y152" s="53">
        <v>1.3862943760896287</v>
      </c>
      <c r="Z152" s="53">
        <v>5.9914645471914136</v>
      </c>
      <c r="AA152" s="53">
        <f t="shared" si="134"/>
        <v>7.4000580678284605E-2</v>
      </c>
      <c r="AB152" s="53">
        <f t="shared" si="135"/>
        <v>1.285040104811463</v>
      </c>
      <c r="AC152" s="53">
        <f t="shared" si="136"/>
        <v>3.2052614432627372E-2</v>
      </c>
      <c r="AD152" s="53">
        <f t="shared" si="137"/>
        <v>0.72041079303022881</v>
      </c>
      <c r="AE152" s="54">
        <f t="shared" si="138"/>
        <v>4.4542969133958481</v>
      </c>
    </row>
    <row r="153" spans="2:31" x14ac:dyDescent="0.3">
      <c r="B153" s="49">
        <f t="shared" si="140"/>
        <v>142</v>
      </c>
      <c r="C153" s="62" t="s">
        <v>379</v>
      </c>
      <c r="D153" s="112" t="s">
        <v>138</v>
      </c>
      <c r="E153" s="60" t="s">
        <v>362</v>
      </c>
      <c r="F153" s="39">
        <v>1</v>
      </c>
      <c r="G153" s="40">
        <v>5.3</v>
      </c>
      <c r="H153" s="40">
        <v>6</v>
      </c>
      <c r="I153" s="120">
        <f t="shared" si="124"/>
        <v>1.8170973966824597</v>
      </c>
      <c r="J153" s="42">
        <f t="shared" si="125"/>
        <v>0.34284856541178488</v>
      </c>
      <c r="K153" s="41">
        <f t="shared" si="126"/>
        <v>2.9167396363433249</v>
      </c>
      <c r="L153" s="43">
        <f t="shared" si="127"/>
        <v>0.84504372230143843</v>
      </c>
      <c r="M153" s="43">
        <f t="shared" si="128"/>
        <v>5.3</v>
      </c>
      <c r="N153" s="43">
        <f t="shared" si="129"/>
        <v>4.3667725774667909</v>
      </c>
      <c r="O153" s="43">
        <f t="shared" si="130"/>
        <v>12.944106168190759</v>
      </c>
      <c r="P153" s="44">
        <f t="shared" si="131"/>
        <v>3.9317578858087918</v>
      </c>
      <c r="Q153" s="45">
        <f t="shared" si="139"/>
        <v>0.18867924528301888</v>
      </c>
      <c r="R153" s="52">
        <v>3</v>
      </c>
      <c r="S153" s="53">
        <v>0.35184631840544622</v>
      </c>
      <c r="T153" s="53">
        <v>2.3659738927290714</v>
      </c>
      <c r="U153" s="53">
        <v>7.81472776394987</v>
      </c>
      <c r="V153" s="53">
        <f t="shared" si="132"/>
        <v>0.14871098936751298</v>
      </c>
      <c r="W153" s="52">
        <f t="shared" si="133"/>
        <v>4</v>
      </c>
      <c r="X153" s="53">
        <v>0.71072302281597644</v>
      </c>
      <c r="Y153" s="53">
        <v>3.3566940013967228</v>
      </c>
      <c r="Z153" s="53">
        <v>9.487729036988851</v>
      </c>
      <c r="AA153" s="53">
        <f t="shared" si="134"/>
        <v>0.21173303927025938</v>
      </c>
      <c r="AB153" s="53">
        <f t="shared" si="135"/>
        <v>3.6341947933649195</v>
      </c>
      <c r="AC153" s="53">
        <f t="shared" si="136"/>
        <v>0.57944405580256575</v>
      </c>
      <c r="AD153" s="53">
        <f t="shared" si="137"/>
        <v>2.994283427328023</v>
      </c>
      <c r="AE153" s="54">
        <f t="shared" si="138"/>
        <v>8.8757364606040738</v>
      </c>
    </row>
    <row r="154" spans="2:31" x14ac:dyDescent="0.3">
      <c r="B154" s="49">
        <f t="shared" si="140"/>
        <v>143</v>
      </c>
      <c r="C154" s="62" t="s">
        <v>379</v>
      </c>
      <c r="D154" s="112" t="s">
        <v>139</v>
      </c>
      <c r="E154" s="60" t="s">
        <v>362</v>
      </c>
      <c r="F154" s="39">
        <v>1</v>
      </c>
      <c r="G154" s="40">
        <v>5.3</v>
      </c>
      <c r="H154" s="40">
        <v>6</v>
      </c>
      <c r="I154" s="120">
        <f t="shared" si="124"/>
        <v>1.8170973966824597</v>
      </c>
      <c r="J154" s="42">
        <f t="shared" si="125"/>
        <v>0.34284856541178488</v>
      </c>
      <c r="K154" s="41">
        <f t="shared" si="126"/>
        <v>2.9167396363433249</v>
      </c>
      <c r="L154" s="43">
        <f t="shared" si="127"/>
        <v>0.84504372230143843</v>
      </c>
      <c r="M154" s="43">
        <f t="shared" si="128"/>
        <v>5.3</v>
      </c>
      <c r="N154" s="43">
        <f t="shared" si="129"/>
        <v>4.3667725774667909</v>
      </c>
      <c r="O154" s="43">
        <f t="shared" si="130"/>
        <v>12.944106168190759</v>
      </c>
      <c r="P154" s="44">
        <f t="shared" si="131"/>
        <v>3.9317578858087918</v>
      </c>
      <c r="Q154" s="45">
        <f t="shared" si="139"/>
        <v>0.18867924528301888</v>
      </c>
      <c r="R154" s="52">
        <v>3</v>
      </c>
      <c r="S154" s="53">
        <v>0.35184631840544622</v>
      </c>
      <c r="T154" s="53">
        <v>2.3659738927290714</v>
      </c>
      <c r="U154" s="53">
        <v>7.81472776394987</v>
      </c>
      <c r="V154" s="53">
        <f t="shared" si="132"/>
        <v>0.14871098936751298</v>
      </c>
      <c r="W154" s="52">
        <f t="shared" si="133"/>
        <v>4</v>
      </c>
      <c r="X154" s="53">
        <v>0.71072302281597644</v>
      </c>
      <c r="Y154" s="53">
        <v>3.3566940013967228</v>
      </c>
      <c r="Z154" s="53">
        <v>9.487729036988851</v>
      </c>
      <c r="AA154" s="53">
        <f t="shared" si="134"/>
        <v>0.21173303927025938</v>
      </c>
      <c r="AB154" s="53">
        <f t="shared" si="135"/>
        <v>3.6341947933649195</v>
      </c>
      <c r="AC154" s="53">
        <f t="shared" si="136"/>
        <v>0.57944405580256575</v>
      </c>
      <c r="AD154" s="53">
        <f t="shared" si="137"/>
        <v>2.994283427328023</v>
      </c>
      <c r="AE154" s="54">
        <f t="shared" si="138"/>
        <v>8.8757364606040738</v>
      </c>
    </row>
    <row r="155" spans="2:31" ht="15" customHeight="1" x14ac:dyDescent="0.3">
      <c r="B155" s="49">
        <f t="shared" si="140"/>
        <v>144</v>
      </c>
      <c r="C155" s="62" t="s">
        <v>379</v>
      </c>
      <c r="D155" s="112" t="s">
        <v>140</v>
      </c>
      <c r="E155" s="60" t="s">
        <v>224</v>
      </c>
      <c r="F155" s="39">
        <v>0.5</v>
      </c>
      <c r="G155" s="117">
        <v>10</v>
      </c>
      <c r="H155" s="117">
        <v>407</v>
      </c>
      <c r="I155" s="120">
        <f t="shared" si="124"/>
        <v>0.81638946157786041</v>
      </c>
      <c r="J155" s="42">
        <f t="shared" si="125"/>
        <v>8.1638946157786038E-2</v>
      </c>
      <c r="K155" s="41">
        <f t="shared" si="126"/>
        <v>12.249055714992572</v>
      </c>
      <c r="L155" s="43">
        <f t="shared" si="127"/>
        <v>0.40641506911322406</v>
      </c>
      <c r="M155" s="43">
        <f t="shared" si="128"/>
        <v>10</v>
      </c>
      <c r="N155" s="43">
        <f t="shared" si="129"/>
        <v>6.3957226025584655</v>
      </c>
      <c r="O155" s="43">
        <f t="shared" si="130"/>
        <v>31.859409599509394</v>
      </c>
      <c r="P155" s="44">
        <f t="shared" si="131"/>
        <v>11.067545217884845</v>
      </c>
      <c r="Q155" s="45">
        <f t="shared" si="139"/>
        <v>0.05</v>
      </c>
      <c r="R155" s="52">
        <v>1</v>
      </c>
      <c r="S155" s="53">
        <v>3.9321400005324098E-3</v>
      </c>
      <c r="T155" s="53">
        <v>0.4549364250484666</v>
      </c>
      <c r="U155" s="53">
        <v>3.841459149489757</v>
      </c>
      <c r="V155" s="53">
        <f t="shared" si="132"/>
        <v>8.6432736180961992E-3</v>
      </c>
      <c r="W155" s="52">
        <f t="shared" si="133"/>
        <v>2</v>
      </c>
      <c r="X155" s="53">
        <v>0.10258658882167279</v>
      </c>
      <c r="Y155" s="53">
        <v>1.3862943760896287</v>
      </c>
      <c r="Z155" s="53">
        <v>5.9914645471914136</v>
      </c>
      <c r="AA155" s="53">
        <f t="shared" si="134"/>
        <v>7.4000580678284605E-2</v>
      </c>
      <c r="AB155" s="53">
        <f t="shared" si="135"/>
        <v>1.6327789231557208</v>
      </c>
      <c r="AC155" s="53">
        <f t="shared" si="136"/>
        <v>6.6358595890094782E-2</v>
      </c>
      <c r="AD155" s="53">
        <f t="shared" si="137"/>
        <v>1.0442801063808116</v>
      </c>
      <c r="AE155" s="54">
        <f t="shared" si="138"/>
        <v>5.2019372498263987</v>
      </c>
    </row>
    <row r="156" spans="2:31" ht="15" customHeight="1" x14ac:dyDescent="0.3">
      <c r="B156" s="49">
        <f t="shared" si="140"/>
        <v>145</v>
      </c>
      <c r="C156" s="62" t="s">
        <v>379</v>
      </c>
      <c r="D156" s="112" t="s">
        <v>141</v>
      </c>
      <c r="E156" s="60" t="s">
        <v>224</v>
      </c>
      <c r="F156" s="39">
        <v>0.5</v>
      </c>
      <c r="G156" s="117">
        <v>10</v>
      </c>
      <c r="H156" s="117">
        <v>407</v>
      </c>
      <c r="I156" s="120">
        <f t="shared" si="124"/>
        <v>0.81638946157786041</v>
      </c>
      <c r="J156" s="42">
        <f t="shared" si="125"/>
        <v>8.1638946157786038E-2</v>
      </c>
      <c r="K156" s="41">
        <f t="shared" si="126"/>
        <v>12.249055714992572</v>
      </c>
      <c r="L156" s="43">
        <f t="shared" si="127"/>
        <v>0.40641506911322406</v>
      </c>
      <c r="M156" s="43">
        <f t="shared" si="128"/>
        <v>10</v>
      </c>
      <c r="N156" s="43">
        <f t="shared" si="129"/>
        <v>6.3957226025584655</v>
      </c>
      <c r="O156" s="43">
        <f t="shared" si="130"/>
        <v>31.859409599509394</v>
      </c>
      <c r="P156" s="44">
        <f t="shared" si="131"/>
        <v>11.067545217884845</v>
      </c>
      <c r="Q156" s="45">
        <f t="shared" si="139"/>
        <v>0.05</v>
      </c>
      <c r="R156" s="52">
        <v>1</v>
      </c>
      <c r="S156" s="53">
        <v>3.9321400005324098E-3</v>
      </c>
      <c r="T156" s="53">
        <v>0.4549364250484666</v>
      </c>
      <c r="U156" s="53">
        <v>3.841459149489757</v>
      </c>
      <c r="V156" s="53">
        <f t="shared" si="132"/>
        <v>8.6432736180961992E-3</v>
      </c>
      <c r="W156" s="52">
        <f t="shared" si="133"/>
        <v>2</v>
      </c>
      <c r="X156" s="53">
        <v>0.10258658882167279</v>
      </c>
      <c r="Y156" s="53">
        <v>1.3862943760896287</v>
      </c>
      <c r="Z156" s="53">
        <v>5.9914645471914136</v>
      </c>
      <c r="AA156" s="53">
        <f t="shared" si="134"/>
        <v>7.4000580678284605E-2</v>
      </c>
      <c r="AB156" s="53">
        <f t="shared" si="135"/>
        <v>1.6327789231557208</v>
      </c>
      <c r="AC156" s="53">
        <f t="shared" si="136"/>
        <v>6.6358595890094782E-2</v>
      </c>
      <c r="AD156" s="53">
        <f t="shared" si="137"/>
        <v>1.0442801063808116</v>
      </c>
      <c r="AE156" s="54">
        <f t="shared" si="138"/>
        <v>5.2019372498263987</v>
      </c>
    </row>
    <row r="157" spans="2:31" ht="15" customHeight="1" x14ac:dyDescent="0.3">
      <c r="B157" s="49">
        <f t="shared" si="140"/>
        <v>146</v>
      </c>
      <c r="C157" s="62" t="s">
        <v>379</v>
      </c>
      <c r="D157" s="112" t="s">
        <v>142</v>
      </c>
      <c r="E157" s="60" t="s">
        <v>225</v>
      </c>
      <c r="F157" s="39">
        <v>2</v>
      </c>
      <c r="G157" s="61">
        <v>10</v>
      </c>
      <c r="H157" s="61">
        <v>30</v>
      </c>
      <c r="I157" s="120">
        <f t="shared" si="124"/>
        <v>1.906913220941199</v>
      </c>
      <c r="J157" s="42">
        <f t="shared" si="125"/>
        <v>0.1906913220941199</v>
      </c>
      <c r="K157" s="41">
        <f t="shared" si="126"/>
        <v>5.2440771243194169</v>
      </c>
      <c r="L157" s="43">
        <f t="shared" si="127"/>
        <v>1.688355984842701</v>
      </c>
      <c r="M157" s="43">
        <f t="shared" si="128"/>
        <v>10</v>
      </c>
      <c r="N157" s="43">
        <f t="shared" si="129"/>
        <v>8.31775688277434</v>
      </c>
      <c r="O157" s="43">
        <f t="shared" si="130"/>
        <v>24.060508722895008</v>
      </c>
      <c r="P157" s="44">
        <f t="shared" si="131"/>
        <v>7.2416000471714934</v>
      </c>
      <c r="Q157" s="45">
        <f t="shared" si="139"/>
        <v>0.2</v>
      </c>
      <c r="R157" s="52">
        <v>3</v>
      </c>
      <c r="S157" s="53">
        <v>0.35184631840544622</v>
      </c>
      <c r="T157" s="53">
        <v>2.3659738927290714</v>
      </c>
      <c r="U157" s="53">
        <v>7.81472776394987</v>
      </c>
      <c r="V157" s="53">
        <f t="shared" si="132"/>
        <v>0.14871098936751298</v>
      </c>
      <c r="W157" s="52">
        <f t="shared" si="133"/>
        <v>4</v>
      </c>
      <c r="X157" s="53">
        <v>0.71072302281597644</v>
      </c>
      <c r="Y157" s="53">
        <v>3.3566940013967228</v>
      </c>
      <c r="Z157" s="53">
        <v>9.487729036988851</v>
      </c>
      <c r="AA157" s="53">
        <f t="shared" si="134"/>
        <v>0.21173303927025938</v>
      </c>
      <c r="AB157" s="53">
        <f t="shared" si="135"/>
        <v>3.8138264418823979</v>
      </c>
      <c r="AC157" s="53">
        <f t="shared" si="136"/>
        <v>0.64390966983034903</v>
      </c>
      <c r="AD157" s="53">
        <f t="shared" si="137"/>
        <v>3.1722481136674086</v>
      </c>
      <c r="AE157" s="54">
        <f t="shared" si="138"/>
        <v>9.1762604372519068</v>
      </c>
    </row>
    <row r="158" spans="2:31" ht="15" customHeight="1" x14ac:dyDescent="0.3">
      <c r="B158" s="49">
        <f t="shared" si="140"/>
        <v>147</v>
      </c>
      <c r="C158" s="62" t="s">
        <v>379</v>
      </c>
      <c r="D158" s="112" t="s">
        <v>143</v>
      </c>
      <c r="E158" s="60" t="s">
        <v>225</v>
      </c>
      <c r="F158" s="39">
        <v>2</v>
      </c>
      <c r="G158" s="61">
        <v>10</v>
      </c>
      <c r="H158" s="61">
        <v>30</v>
      </c>
      <c r="I158" s="120">
        <f t="shared" si="124"/>
        <v>1.906913220941199</v>
      </c>
      <c r="J158" s="42">
        <f t="shared" si="125"/>
        <v>0.1906913220941199</v>
      </c>
      <c r="K158" s="41">
        <f t="shared" si="126"/>
        <v>5.2440771243194169</v>
      </c>
      <c r="L158" s="43">
        <f t="shared" si="127"/>
        <v>1.688355984842701</v>
      </c>
      <c r="M158" s="43">
        <f t="shared" si="128"/>
        <v>10</v>
      </c>
      <c r="N158" s="43">
        <f t="shared" si="129"/>
        <v>8.31775688277434</v>
      </c>
      <c r="O158" s="43">
        <f t="shared" si="130"/>
        <v>24.060508722895008</v>
      </c>
      <c r="P158" s="44">
        <f t="shared" si="131"/>
        <v>7.2416000471714934</v>
      </c>
      <c r="Q158" s="45">
        <f t="shared" si="139"/>
        <v>0.2</v>
      </c>
      <c r="R158" s="52">
        <v>3</v>
      </c>
      <c r="S158" s="53">
        <v>0.35184631840544622</v>
      </c>
      <c r="T158" s="53">
        <v>2.3659738927290714</v>
      </c>
      <c r="U158" s="53">
        <v>7.81472776394987</v>
      </c>
      <c r="V158" s="53">
        <f t="shared" si="132"/>
        <v>0.14871098936751298</v>
      </c>
      <c r="W158" s="52">
        <f t="shared" si="133"/>
        <v>4</v>
      </c>
      <c r="X158" s="53">
        <v>0.71072302281597644</v>
      </c>
      <c r="Y158" s="53">
        <v>3.3566940013967228</v>
      </c>
      <c r="Z158" s="53">
        <v>9.487729036988851</v>
      </c>
      <c r="AA158" s="53">
        <f t="shared" si="134"/>
        <v>0.21173303927025938</v>
      </c>
      <c r="AB158" s="53">
        <f t="shared" si="135"/>
        <v>3.8138264418823979</v>
      </c>
      <c r="AC158" s="53">
        <f t="shared" si="136"/>
        <v>0.64390966983034903</v>
      </c>
      <c r="AD158" s="53">
        <f t="shared" si="137"/>
        <v>3.1722481136674086</v>
      </c>
      <c r="AE158" s="54">
        <f t="shared" si="138"/>
        <v>9.1762604372519068</v>
      </c>
    </row>
    <row r="159" spans="2:31" x14ac:dyDescent="0.3">
      <c r="B159" s="49">
        <f t="shared" si="140"/>
        <v>148</v>
      </c>
      <c r="C159" s="62" t="s">
        <v>379</v>
      </c>
      <c r="D159" s="112" t="s">
        <v>127</v>
      </c>
      <c r="E159" s="60" t="s">
        <v>362</v>
      </c>
      <c r="F159" s="39">
        <v>1</v>
      </c>
      <c r="G159" s="40">
        <v>5.3</v>
      </c>
      <c r="H159" s="40">
        <v>6</v>
      </c>
      <c r="I159" s="120">
        <f t="shared" si="124"/>
        <v>1.8170973966824597</v>
      </c>
      <c r="J159" s="42">
        <f t="shared" si="125"/>
        <v>0.34284856541178488</v>
      </c>
      <c r="K159" s="41">
        <f t="shared" si="126"/>
        <v>2.9167396363433249</v>
      </c>
      <c r="L159" s="43">
        <f t="shared" si="127"/>
        <v>0.84504372230143843</v>
      </c>
      <c r="M159" s="43">
        <f t="shared" si="128"/>
        <v>5.3</v>
      </c>
      <c r="N159" s="43">
        <f t="shared" si="129"/>
        <v>4.3667725774667909</v>
      </c>
      <c r="O159" s="43">
        <f t="shared" si="130"/>
        <v>12.944106168190759</v>
      </c>
      <c r="P159" s="44">
        <f t="shared" si="131"/>
        <v>3.9317578858087918</v>
      </c>
      <c r="Q159" s="45">
        <f t="shared" si="139"/>
        <v>0.18867924528301888</v>
      </c>
      <c r="R159" s="52">
        <v>3</v>
      </c>
      <c r="S159" s="53">
        <v>0.35184631840544622</v>
      </c>
      <c r="T159" s="53">
        <v>2.3659738927290714</v>
      </c>
      <c r="U159" s="53">
        <v>7.81472776394987</v>
      </c>
      <c r="V159" s="53">
        <f t="shared" si="132"/>
        <v>0.14871098936751298</v>
      </c>
      <c r="W159" s="52">
        <f t="shared" si="133"/>
        <v>4</v>
      </c>
      <c r="X159" s="53">
        <v>0.71072302281597644</v>
      </c>
      <c r="Y159" s="53">
        <v>3.3566940013967228</v>
      </c>
      <c r="Z159" s="53">
        <v>9.487729036988851</v>
      </c>
      <c r="AA159" s="53">
        <f t="shared" si="134"/>
        <v>0.21173303927025938</v>
      </c>
      <c r="AB159" s="53">
        <f t="shared" si="135"/>
        <v>3.6341947933649195</v>
      </c>
      <c r="AC159" s="53">
        <f t="shared" si="136"/>
        <v>0.57944405580256575</v>
      </c>
      <c r="AD159" s="53">
        <f t="shared" si="137"/>
        <v>2.994283427328023</v>
      </c>
      <c r="AE159" s="54">
        <f t="shared" si="138"/>
        <v>8.8757364606040738</v>
      </c>
    </row>
    <row r="160" spans="2:31" ht="15" customHeight="1" x14ac:dyDescent="0.3">
      <c r="B160" s="49">
        <f t="shared" si="140"/>
        <v>149</v>
      </c>
      <c r="C160" s="62" t="s">
        <v>379</v>
      </c>
      <c r="D160" s="112" t="s">
        <v>144</v>
      </c>
      <c r="E160" s="60" t="s">
        <v>187</v>
      </c>
      <c r="F160" s="39">
        <v>1</v>
      </c>
      <c r="G160" s="40">
        <v>3.1</v>
      </c>
      <c r="H160" s="40">
        <v>6</v>
      </c>
      <c r="I160" s="120">
        <f t="shared" si="124"/>
        <v>3.2348589594942467</v>
      </c>
      <c r="J160" s="42">
        <f t="shared" si="125"/>
        <v>1.0435028901594343</v>
      </c>
      <c r="K160" s="41">
        <f t="shared" si="126"/>
        <v>0.9583107142589824</v>
      </c>
      <c r="L160" s="43">
        <f t="shared" si="127"/>
        <v>0.9033311533281102</v>
      </c>
      <c r="M160" s="43">
        <f t="shared" si="128"/>
        <v>3.1000000000000005</v>
      </c>
      <c r="N160" s="43">
        <f t="shared" si="129"/>
        <v>2.7871288222681176</v>
      </c>
      <c r="O160" s="43">
        <f t="shared" si="130"/>
        <v>6.365426077212649</v>
      </c>
      <c r="P160" s="44">
        <f t="shared" si="131"/>
        <v>1.7235902106367529</v>
      </c>
      <c r="Q160" s="45">
        <f t="shared" si="139"/>
        <v>0.32258064516129031</v>
      </c>
      <c r="R160" s="52">
        <v>6</v>
      </c>
      <c r="S160" s="53">
        <v>1.6353828954369192</v>
      </c>
      <c r="T160" s="53">
        <v>5.3481208434097312</v>
      </c>
      <c r="U160" s="53">
        <v>12.591587244072656</v>
      </c>
      <c r="V160" s="53">
        <f t="shared" si="132"/>
        <v>0.30578645160049706</v>
      </c>
      <c r="W160" s="52">
        <f t="shared" si="133"/>
        <v>7</v>
      </c>
      <c r="X160" s="53">
        <v>2.1673499186219098</v>
      </c>
      <c r="Y160" s="53">
        <v>6.3458113725816272</v>
      </c>
      <c r="Z160" s="53">
        <v>14.067140433005996</v>
      </c>
      <c r="AA160" s="53">
        <f t="shared" si="134"/>
        <v>0.34154023675938233</v>
      </c>
      <c r="AB160" s="53">
        <f t="shared" si="135"/>
        <v>6.4697179189884935</v>
      </c>
      <c r="AC160" s="53">
        <f t="shared" si="136"/>
        <v>1.8852573385378764</v>
      </c>
      <c r="AD160" s="53">
        <f t="shared" si="137"/>
        <v>5.8167539625668825</v>
      </c>
      <c r="AE160" s="54">
        <f t="shared" si="138"/>
        <v>13.284681017335259</v>
      </c>
    </row>
    <row r="161" spans="2:31" x14ac:dyDescent="0.3">
      <c r="B161" s="49">
        <f t="shared" si="140"/>
        <v>150</v>
      </c>
      <c r="C161" s="62" t="s">
        <v>380</v>
      </c>
      <c r="D161" s="112" t="s">
        <v>245</v>
      </c>
      <c r="E161" s="60" t="s">
        <v>362</v>
      </c>
      <c r="F161" s="39">
        <v>1</v>
      </c>
      <c r="G161" s="40">
        <v>5.3</v>
      </c>
      <c r="H161" s="40">
        <v>6</v>
      </c>
      <c r="I161" s="120">
        <f t="shared" si="124"/>
        <v>1.8170973966824597</v>
      </c>
      <c r="J161" s="42">
        <f t="shared" si="125"/>
        <v>0.34284856541178488</v>
      </c>
      <c r="K161" s="41">
        <f t="shared" si="126"/>
        <v>2.9167396363433249</v>
      </c>
      <c r="L161" s="43">
        <f t="shared" si="127"/>
        <v>0.84504372230143843</v>
      </c>
      <c r="M161" s="43">
        <f t="shared" si="128"/>
        <v>5.3</v>
      </c>
      <c r="N161" s="43">
        <f t="shared" si="129"/>
        <v>4.3667725774667909</v>
      </c>
      <c r="O161" s="43">
        <f t="shared" si="130"/>
        <v>12.944106168190759</v>
      </c>
      <c r="P161" s="44">
        <f t="shared" si="131"/>
        <v>3.9317578858087918</v>
      </c>
      <c r="Q161" s="45">
        <f t="shared" si="139"/>
        <v>0.18867924528301888</v>
      </c>
      <c r="R161" s="52">
        <v>3</v>
      </c>
      <c r="S161" s="53">
        <v>0.35184631840544622</v>
      </c>
      <c r="T161" s="53">
        <v>2.3659738927290714</v>
      </c>
      <c r="U161" s="53">
        <v>7.81472776394987</v>
      </c>
      <c r="V161" s="53">
        <f t="shared" si="132"/>
        <v>0.14871098936751298</v>
      </c>
      <c r="W161" s="52">
        <f t="shared" si="133"/>
        <v>4</v>
      </c>
      <c r="X161" s="53">
        <v>0.71072302281597644</v>
      </c>
      <c r="Y161" s="53">
        <v>3.3566940013967228</v>
      </c>
      <c r="Z161" s="53">
        <v>9.487729036988851</v>
      </c>
      <c r="AA161" s="53">
        <f t="shared" si="134"/>
        <v>0.21173303927025938</v>
      </c>
      <c r="AB161" s="53">
        <f t="shared" si="135"/>
        <v>3.6341947933649195</v>
      </c>
      <c r="AC161" s="53">
        <f t="shared" si="136"/>
        <v>0.57944405580256575</v>
      </c>
      <c r="AD161" s="53">
        <f t="shared" si="137"/>
        <v>2.994283427328023</v>
      </c>
      <c r="AE161" s="54">
        <f t="shared" si="138"/>
        <v>8.8757364606040738</v>
      </c>
    </row>
    <row r="162" spans="2:31" x14ac:dyDescent="0.3">
      <c r="B162" s="49">
        <f t="shared" si="140"/>
        <v>151</v>
      </c>
      <c r="C162" s="62" t="s">
        <v>380</v>
      </c>
      <c r="D162" s="12" t="s">
        <v>397</v>
      </c>
      <c r="E162" s="60" t="s">
        <v>398</v>
      </c>
      <c r="F162" s="39">
        <v>0</v>
      </c>
      <c r="G162" s="40">
        <v>0</v>
      </c>
      <c r="H162" s="40">
        <v>0</v>
      </c>
      <c r="I162" s="120">
        <f t="shared" ref="I162" si="141">AB162/2</f>
        <v>0</v>
      </c>
      <c r="J162" s="42" t="e">
        <f t="shared" ref="J162" si="142">I162/G162</f>
        <v>#DIV/0!</v>
      </c>
      <c r="K162" s="41" t="e">
        <f t="shared" ref="K162" si="143">1/J162</f>
        <v>#DIV/0!</v>
      </c>
      <c r="L162" s="43" t="e">
        <f t="shared" ref="L162" si="144">1/2/J162*AC162</f>
        <v>#DIV/0!</v>
      </c>
      <c r="M162" s="43" t="e">
        <f t="shared" ref="M162" si="145">I162/J162</f>
        <v>#DIV/0!</v>
      </c>
      <c r="N162" s="43" t="e">
        <f t="shared" ref="N162" si="146">1/2/J162*AD162</f>
        <v>#DIV/0!</v>
      </c>
      <c r="O162" s="43" t="e">
        <f t="shared" ref="O162" si="147">1/2/J162*AE162</f>
        <v>#DIV/0!</v>
      </c>
      <c r="P162" s="44" t="e">
        <f t="shared" ref="P162" si="148">SQRT(M162/J162)</f>
        <v>#DIV/0!</v>
      </c>
      <c r="Q162" s="45" t="e">
        <f t="shared" si="139"/>
        <v>#DIV/0!</v>
      </c>
      <c r="R162" s="52"/>
      <c r="S162" s="53"/>
      <c r="T162" s="53"/>
      <c r="U162" s="53"/>
      <c r="V162" s="53"/>
      <c r="W162" s="52"/>
      <c r="X162" s="53"/>
      <c r="Y162" s="53"/>
      <c r="Z162" s="53"/>
      <c r="AA162" s="53"/>
      <c r="AB162" s="53"/>
      <c r="AC162" s="53"/>
      <c r="AD162" s="53"/>
      <c r="AE162" s="54"/>
    </row>
    <row r="163" spans="2:31" x14ac:dyDescent="0.3">
      <c r="B163" s="49">
        <f t="shared" si="140"/>
        <v>152</v>
      </c>
      <c r="C163" s="62" t="s">
        <v>380</v>
      </c>
      <c r="D163" s="112" t="s">
        <v>246</v>
      </c>
      <c r="E163" s="60" t="s">
        <v>362</v>
      </c>
      <c r="F163" s="39">
        <v>1</v>
      </c>
      <c r="G163" s="40">
        <v>5.3</v>
      </c>
      <c r="H163" s="40">
        <v>6</v>
      </c>
      <c r="I163" s="120">
        <f t="shared" si="124"/>
        <v>1.8170973966824597</v>
      </c>
      <c r="J163" s="42">
        <f t="shared" si="125"/>
        <v>0.34284856541178488</v>
      </c>
      <c r="K163" s="41">
        <f t="shared" si="126"/>
        <v>2.9167396363433249</v>
      </c>
      <c r="L163" s="43">
        <f t="shared" si="127"/>
        <v>0.84504372230143843</v>
      </c>
      <c r="M163" s="43">
        <f t="shared" si="128"/>
        <v>5.3</v>
      </c>
      <c r="N163" s="43">
        <f t="shared" si="129"/>
        <v>4.3667725774667909</v>
      </c>
      <c r="O163" s="43">
        <f t="shared" si="130"/>
        <v>12.944106168190759</v>
      </c>
      <c r="P163" s="44">
        <f t="shared" si="131"/>
        <v>3.9317578858087918</v>
      </c>
      <c r="Q163" s="45">
        <f t="shared" si="139"/>
        <v>0.18867924528301888</v>
      </c>
      <c r="R163" s="52">
        <f t="shared" ref="R163:R171" si="149">VLOOKUP(Q163,Upper_Chi_Square,2,1)</f>
        <v>3</v>
      </c>
      <c r="S163" s="53">
        <f t="shared" ref="S163:S171" si="150">VLOOKUP(Q163,Upper_Chi_Square,3,1)</f>
        <v>0.35184631840544622</v>
      </c>
      <c r="T163" s="53">
        <f t="shared" ref="T163:T171" si="151">VLOOKUP(Q163,Upper_Chi_Square,4,1)</f>
        <v>2.3659738927290714</v>
      </c>
      <c r="U163" s="53">
        <f t="shared" ref="U163:U171" si="152">VLOOKUP(Q163,Upper_Chi_Square,5,1)</f>
        <v>7.81472776394987</v>
      </c>
      <c r="V163" s="53">
        <f t="shared" si="132"/>
        <v>0.14871098936751298</v>
      </c>
      <c r="W163" s="52">
        <f t="shared" si="133"/>
        <v>4</v>
      </c>
      <c r="X163" s="53">
        <f t="shared" ref="X163:X171" si="153">VLOOKUP(W163,Upper_Chi_Reducida,2,0)</f>
        <v>0.71072302281597644</v>
      </c>
      <c r="Y163" s="53">
        <f t="shared" ref="Y163:Y171" si="154">VLOOKUP(W163,Upper_Chi_Reducida,3,0)</f>
        <v>3.3566940013967228</v>
      </c>
      <c r="Z163" s="53">
        <f t="shared" ref="Z163:Z171" si="155">VLOOKUP(W163,Upper_Chi_Reducida,4,0)</f>
        <v>9.487729036988851</v>
      </c>
      <c r="AA163" s="53">
        <f t="shared" si="134"/>
        <v>0.21173303927025938</v>
      </c>
      <c r="AB163" s="53">
        <f t="shared" si="135"/>
        <v>3.6341947933649195</v>
      </c>
      <c r="AC163" s="53">
        <f t="shared" si="136"/>
        <v>0.57944405580256575</v>
      </c>
      <c r="AD163" s="53">
        <f t="shared" si="137"/>
        <v>2.994283427328023</v>
      </c>
      <c r="AE163" s="54">
        <f t="shared" si="138"/>
        <v>8.8757364606040738</v>
      </c>
    </row>
    <row r="164" spans="2:31" x14ac:dyDescent="0.3">
      <c r="B164" s="49">
        <f t="shared" si="140"/>
        <v>153</v>
      </c>
      <c r="C164" s="13" t="s">
        <v>247</v>
      </c>
      <c r="D164" s="115" t="s">
        <v>226</v>
      </c>
      <c r="E164" s="108"/>
      <c r="F164" s="39">
        <v>0.3</v>
      </c>
      <c r="G164" s="40">
        <v>11</v>
      </c>
      <c r="H164" s="40">
        <v>136</v>
      </c>
      <c r="I164" s="120">
        <f>AB164/2</f>
        <v>0</v>
      </c>
      <c r="J164" s="42">
        <f>I164/G164</f>
        <v>0</v>
      </c>
      <c r="K164" s="41" t="e">
        <f>1/J164</f>
        <v>#DIV/0!</v>
      </c>
      <c r="L164" s="43"/>
      <c r="M164" s="43"/>
      <c r="N164" s="43"/>
      <c r="O164" s="43"/>
      <c r="P164" s="44"/>
      <c r="Q164" s="45"/>
      <c r="R164" s="52"/>
      <c r="S164" s="53"/>
      <c r="T164" s="53"/>
      <c r="U164" s="53"/>
      <c r="V164" s="53"/>
      <c r="W164" s="52"/>
      <c r="X164" s="53"/>
      <c r="Y164" s="53"/>
      <c r="Z164" s="53"/>
      <c r="AA164" s="53"/>
      <c r="AB164" s="53"/>
      <c r="AC164" s="53"/>
      <c r="AD164" s="53"/>
      <c r="AE164" s="54"/>
    </row>
    <row r="165" spans="2:31" x14ac:dyDescent="0.3">
      <c r="B165" s="49">
        <f t="shared" si="140"/>
        <v>154</v>
      </c>
      <c r="C165" s="13" t="s">
        <v>248</v>
      </c>
      <c r="D165" s="115" t="s">
        <v>226</v>
      </c>
      <c r="E165" s="108"/>
      <c r="F165" s="39">
        <v>0.3</v>
      </c>
      <c r="G165" s="40">
        <v>11</v>
      </c>
      <c r="H165" s="40">
        <v>136</v>
      </c>
      <c r="I165" s="120">
        <f t="shared" ref="I165" si="156">AB165/2</f>
        <v>0</v>
      </c>
      <c r="J165" s="42">
        <f t="shared" ref="J165" si="157">I165/G165</f>
        <v>0</v>
      </c>
      <c r="K165" s="41" t="e">
        <f t="shared" ref="K165" si="158">1/J165</f>
        <v>#DIV/0!</v>
      </c>
      <c r="L165" s="43"/>
      <c r="M165" s="43"/>
      <c r="N165" s="43"/>
      <c r="O165" s="43"/>
      <c r="P165" s="44"/>
      <c r="Q165" s="45"/>
      <c r="R165" s="52"/>
      <c r="S165" s="53"/>
      <c r="T165" s="53"/>
      <c r="U165" s="53"/>
      <c r="V165" s="53"/>
      <c r="W165" s="52"/>
      <c r="X165" s="53"/>
      <c r="Y165" s="53"/>
      <c r="Z165" s="53"/>
      <c r="AA165" s="53"/>
      <c r="AB165" s="53"/>
      <c r="AC165" s="53"/>
      <c r="AD165" s="53"/>
      <c r="AE165" s="54"/>
    </row>
    <row r="166" spans="2:31" x14ac:dyDescent="0.3">
      <c r="B166" s="49">
        <f t="shared" si="140"/>
        <v>155</v>
      </c>
      <c r="C166" s="62" t="s">
        <v>380</v>
      </c>
      <c r="D166" s="112" t="s">
        <v>249</v>
      </c>
      <c r="E166" s="60" t="s">
        <v>362</v>
      </c>
      <c r="F166" s="39">
        <v>1</v>
      </c>
      <c r="G166" s="40">
        <v>5.3</v>
      </c>
      <c r="H166" s="40">
        <v>6</v>
      </c>
      <c r="I166" s="120">
        <f t="shared" si="124"/>
        <v>1.8170973966824597</v>
      </c>
      <c r="J166" s="42">
        <f t="shared" si="125"/>
        <v>0.34284856541178488</v>
      </c>
      <c r="K166" s="41">
        <f t="shared" si="126"/>
        <v>2.9167396363433249</v>
      </c>
      <c r="L166" s="43">
        <f t="shared" si="127"/>
        <v>0.84504372230143843</v>
      </c>
      <c r="M166" s="43">
        <f t="shared" si="128"/>
        <v>5.3</v>
      </c>
      <c r="N166" s="43">
        <f t="shared" si="129"/>
        <v>4.3667725774667909</v>
      </c>
      <c r="O166" s="43">
        <f t="shared" si="130"/>
        <v>12.944106168190759</v>
      </c>
      <c r="P166" s="44">
        <f t="shared" si="131"/>
        <v>3.9317578858087918</v>
      </c>
      <c r="Q166" s="45">
        <f t="shared" si="139"/>
        <v>0.18867924528301888</v>
      </c>
      <c r="R166" s="52">
        <f t="shared" si="149"/>
        <v>3</v>
      </c>
      <c r="S166" s="53">
        <f t="shared" si="150"/>
        <v>0.35184631840544622</v>
      </c>
      <c r="T166" s="53">
        <f t="shared" si="151"/>
        <v>2.3659738927290714</v>
      </c>
      <c r="U166" s="53">
        <f t="shared" si="152"/>
        <v>7.81472776394987</v>
      </c>
      <c r="V166" s="53">
        <f t="shared" si="132"/>
        <v>0.14871098936751298</v>
      </c>
      <c r="W166" s="52">
        <f t="shared" si="133"/>
        <v>4</v>
      </c>
      <c r="X166" s="53">
        <f t="shared" si="153"/>
        <v>0.71072302281597644</v>
      </c>
      <c r="Y166" s="53">
        <f t="shared" si="154"/>
        <v>3.3566940013967228</v>
      </c>
      <c r="Z166" s="53">
        <f t="shared" si="155"/>
        <v>9.487729036988851</v>
      </c>
      <c r="AA166" s="53">
        <f t="shared" si="134"/>
        <v>0.21173303927025938</v>
      </c>
      <c r="AB166" s="53">
        <f t="shared" si="135"/>
        <v>3.6341947933649195</v>
      </c>
      <c r="AC166" s="53">
        <f t="shared" si="136"/>
        <v>0.57944405580256575</v>
      </c>
      <c r="AD166" s="53">
        <f t="shared" si="137"/>
        <v>2.994283427328023</v>
      </c>
      <c r="AE166" s="54">
        <f t="shared" si="138"/>
        <v>8.8757364606040738</v>
      </c>
    </row>
    <row r="167" spans="2:31" x14ac:dyDescent="0.3">
      <c r="B167" s="49">
        <f t="shared" si="140"/>
        <v>156</v>
      </c>
      <c r="C167" s="62" t="s">
        <v>380</v>
      </c>
      <c r="D167" s="112" t="s">
        <v>250</v>
      </c>
      <c r="E167" s="60" t="s">
        <v>362</v>
      </c>
      <c r="F167" s="39">
        <v>1</v>
      </c>
      <c r="G167" s="40">
        <v>5.3</v>
      </c>
      <c r="H167" s="40">
        <v>6</v>
      </c>
      <c r="I167" s="120">
        <f t="shared" si="124"/>
        <v>1.8170973966824597</v>
      </c>
      <c r="J167" s="42">
        <f t="shared" si="125"/>
        <v>0.34284856541178488</v>
      </c>
      <c r="K167" s="41">
        <f t="shared" si="126"/>
        <v>2.9167396363433249</v>
      </c>
      <c r="L167" s="43">
        <f t="shared" si="127"/>
        <v>0.84504372230143843</v>
      </c>
      <c r="M167" s="43">
        <f t="shared" si="128"/>
        <v>5.3</v>
      </c>
      <c r="N167" s="43">
        <f t="shared" si="129"/>
        <v>4.3667725774667909</v>
      </c>
      <c r="O167" s="43">
        <f t="shared" si="130"/>
        <v>12.944106168190759</v>
      </c>
      <c r="P167" s="44">
        <f t="shared" si="131"/>
        <v>3.9317578858087918</v>
      </c>
      <c r="Q167" s="45">
        <f t="shared" si="139"/>
        <v>0.18867924528301888</v>
      </c>
      <c r="R167" s="52">
        <f t="shared" si="149"/>
        <v>3</v>
      </c>
      <c r="S167" s="53">
        <f t="shared" si="150"/>
        <v>0.35184631840544622</v>
      </c>
      <c r="T167" s="53">
        <f t="shared" si="151"/>
        <v>2.3659738927290714</v>
      </c>
      <c r="U167" s="53">
        <f t="shared" si="152"/>
        <v>7.81472776394987</v>
      </c>
      <c r="V167" s="53">
        <f t="shared" si="132"/>
        <v>0.14871098936751298</v>
      </c>
      <c r="W167" s="52">
        <f t="shared" si="133"/>
        <v>4</v>
      </c>
      <c r="X167" s="53">
        <f t="shared" si="153"/>
        <v>0.71072302281597644</v>
      </c>
      <c r="Y167" s="53">
        <f t="shared" si="154"/>
        <v>3.3566940013967228</v>
      </c>
      <c r="Z167" s="53">
        <f t="shared" si="155"/>
        <v>9.487729036988851</v>
      </c>
      <c r="AA167" s="53">
        <f t="shared" si="134"/>
        <v>0.21173303927025938</v>
      </c>
      <c r="AB167" s="53">
        <f t="shared" si="135"/>
        <v>3.6341947933649195</v>
      </c>
      <c r="AC167" s="53">
        <f t="shared" si="136"/>
        <v>0.57944405580256575</v>
      </c>
      <c r="AD167" s="53">
        <f t="shared" si="137"/>
        <v>2.994283427328023</v>
      </c>
      <c r="AE167" s="54">
        <f t="shared" si="138"/>
        <v>8.8757364606040738</v>
      </c>
    </row>
    <row r="168" spans="2:31" ht="15" customHeight="1" x14ac:dyDescent="0.3">
      <c r="B168" s="49">
        <f t="shared" si="140"/>
        <v>157</v>
      </c>
      <c r="C168" s="62" t="s">
        <v>381</v>
      </c>
      <c r="D168" s="112" t="s">
        <v>145</v>
      </c>
      <c r="E168" s="60" t="s">
        <v>227</v>
      </c>
      <c r="F168" s="39"/>
      <c r="G168" s="40"/>
      <c r="H168" s="40"/>
      <c r="I168" s="120" t="e">
        <f t="shared" si="124"/>
        <v>#DIV/0!</v>
      </c>
      <c r="J168" s="42" t="e">
        <f t="shared" si="125"/>
        <v>#DIV/0!</v>
      </c>
      <c r="K168" s="41" t="e">
        <f t="shared" si="126"/>
        <v>#DIV/0!</v>
      </c>
      <c r="L168" s="43" t="e">
        <f t="shared" si="127"/>
        <v>#DIV/0!</v>
      </c>
      <c r="M168" s="43" t="e">
        <f t="shared" si="128"/>
        <v>#DIV/0!</v>
      </c>
      <c r="N168" s="43" t="e">
        <f t="shared" si="129"/>
        <v>#DIV/0!</v>
      </c>
      <c r="O168" s="43" t="e">
        <f t="shared" si="130"/>
        <v>#DIV/0!</v>
      </c>
      <c r="P168" s="44" t="e">
        <f t="shared" si="131"/>
        <v>#DIV/0!</v>
      </c>
      <c r="Q168" s="45" t="e">
        <f t="shared" si="139"/>
        <v>#DIV/0!</v>
      </c>
      <c r="R168" s="52" t="e">
        <f t="shared" si="149"/>
        <v>#DIV/0!</v>
      </c>
      <c r="S168" s="53" t="e">
        <f t="shared" si="150"/>
        <v>#DIV/0!</v>
      </c>
      <c r="T168" s="53" t="e">
        <f t="shared" si="151"/>
        <v>#DIV/0!</v>
      </c>
      <c r="U168" s="53" t="e">
        <f t="shared" si="152"/>
        <v>#DIV/0!</v>
      </c>
      <c r="V168" s="53" t="e">
        <f t="shared" si="132"/>
        <v>#DIV/0!</v>
      </c>
      <c r="W168" s="52" t="e">
        <f t="shared" si="133"/>
        <v>#DIV/0!</v>
      </c>
      <c r="X168" s="53" t="e">
        <f t="shared" si="153"/>
        <v>#DIV/0!</v>
      </c>
      <c r="Y168" s="53" t="e">
        <f t="shared" si="154"/>
        <v>#DIV/0!</v>
      </c>
      <c r="Z168" s="53" t="e">
        <f t="shared" si="155"/>
        <v>#DIV/0!</v>
      </c>
      <c r="AA168" s="53" t="e">
        <f t="shared" si="134"/>
        <v>#DIV/0!</v>
      </c>
      <c r="AB168" s="53" t="e">
        <f t="shared" si="135"/>
        <v>#DIV/0!</v>
      </c>
      <c r="AC168" s="53" t="e">
        <f t="shared" si="136"/>
        <v>#DIV/0!</v>
      </c>
      <c r="AD168" s="53" t="e">
        <f t="shared" si="137"/>
        <v>#DIV/0!</v>
      </c>
      <c r="AE168" s="54" t="e">
        <f t="shared" si="138"/>
        <v>#DIV/0!</v>
      </c>
    </row>
    <row r="169" spans="2:31" ht="15" customHeight="1" x14ac:dyDescent="0.3">
      <c r="B169" s="49">
        <f t="shared" si="140"/>
        <v>158</v>
      </c>
      <c r="C169" s="62" t="s">
        <v>381</v>
      </c>
      <c r="D169" s="112" t="s">
        <v>146</v>
      </c>
      <c r="E169" s="60" t="s">
        <v>228</v>
      </c>
      <c r="F169" s="39">
        <v>0.3</v>
      </c>
      <c r="G169" s="40">
        <v>11</v>
      </c>
      <c r="H169" s="40">
        <v>136</v>
      </c>
      <c r="I169" s="120">
        <f t="shared" si="124"/>
        <v>0.64252005240573151</v>
      </c>
      <c r="J169" s="42">
        <f t="shared" si="125"/>
        <v>5.8410913855066499E-2</v>
      </c>
      <c r="K169" s="41">
        <f t="shared" si="126"/>
        <v>17.120088250652511</v>
      </c>
      <c r="L169" s="43">
        <f t="shared" si="127"/>
        <v>0.27437179387535948</v>
      </c>
      <c r="M169" s="43">
        <f t="shared" si="128"/>
        <v>11</v>
      </c>
      <c r="N169" s="43">
        <f t="shared" si="129"/>
        <v>6.1667481767000387</v>
      </c>
      <c r="O169" s="43">
        <f t="shared" si="130"/>
        <v>38.128978125972999</v>
      </c>
      <c r="P169" s="44">
        <f t="shared" si="131"/>
        <v>13.723008808463895</v>
      </c>
      <c r="Q169" s="45">
        <f t="shared" si="139"/>
        <v>2.7272727272727271E-2</v>
      </c>
      <c r="R169" s="52">
        <f t="shared" si="149"/>
        <v>1</v>
      </c>
      <c r="S169" s="53">
        <f t="shared" si="150"/>
        <v>3.9321400005324098E-3</v>
      </c>
      <c r="T169" s="53">
        <f t="shared" si="151"/>
        <v>0.4549364250484666</v>
      </c>
      <c r="U169" s="53">
        <f t="shared" si="152"/>
        <v>3.841459149489757</v>
      </c>
      <c r="V169" s="53">
        <f t="shared" si="132"/>
        <v>8.6432736180961992E-3</v>
      </c>
      <c r="W169" s="52">
        <f t="shared" si="133"/>
        <v>2</v>
      </c>
      <c r="X169" s="53">
        <f t="shared" si="153"/>
        <v>0.10258658882167279</v>
      </c>
      <c r="Y169" s="53">
        <f t="shared" si="154"/>
        <v>1.3862943760896287</v>
      </c>
      <c r="Z169" s="53">
        <f t="shared" si="155"/>
        <v>5.9914645471914136</v>
      </c>
      <c r="AA169" s="53">
        <f t="shared" si="134"/>
        <v>7.4000580678284605E-2</v>
      </c>
      <c r="AB169" s="53">
        <f t="shared" si="135"/>
        <v>1.285040104811463</v>
      </c>
      <c r="AC169" s="53">
        <f t="shared" si="136"/>
        <v>3.2052614432627372E-2</v>
      </c>
      <c r="AD169" s="53">
        <f t="shared" si="137"/>
        <v>0.72041079303022881</v>
      </c>
      <c r="AE169" s="54">
        <f t="shared" si="138"/>
        <v>4.4542969133958481</v>
      </c>
    </row>
    <row r="170" spans="2:31" ht="15" customHeight="1" x14ac:dyDescent="0.3">
      <c r="B170" s="49">
        <f t="shared" si="140"/>
        <v>159</v>
      </c>
      <c r="C170" s="62" t="s">
        <v>381</v>
      </c>
      <c r="D170" s="112" t="s">
        <v>147</v>
      </c>
      <c r="E170" s="60" t="s">
        <v>229</v>
      </c>
      <c r="F170" s="39">
        <v>0.3</v>
      </c>
      <c r="G170" s="40">
        <v>11</v>
      </c>
      <c r="H170" s="40">
        <v>136</v>
      </c>
      <c r="I170" s="120">
        <f t="shared" si="124"/>
        <v>0.64252005240573151</v>
      </c>
      <c r="J170" s="42">
        <f t="shared" si="125"/>
        <v>5.8410913855066499E-2</v>
      </c>
      <c r="K170" s="41">
        <f t="shared" si="126"/>
        <v>17.120088250652511</v>
      </c>
      <c r="L170" s="43">
        <f t="shared" si="127"/>
        <v>0.27437179387535948</v>
      </c>
      <c r="M170" s="43">
        <f t="shared" si="128"/>
        <v>11</v>
      </c>
      <c r="N170" s="43">
        <f t="shared" si="129"/>
        <v>6.1667481767000387</v>
      </c>
      <c r="O170" s="43">
        <f t="shared" si="130"/>
        <v>38.128978125972999</v>
      </c>
      <c r="P170" s="44">
        <f t="shared" si="131"/>
        <v>13.723008808463895</v>
      </c>
      <c r="Q170" s="45">
        <f t="shared" si="139"/>
        <v>2.7272727272727271E-2</v>
      </c>
      <c r="R170" s="52">
        <f t="shared" si="149"/>
        <v>1</v>
      </c>
      <c r="S170" s="53">
        <f t="shared" si="150"/>
        <v>3.9321400005324098E-3</v>
      </c>
      <c r="T170" s="53">
        <f t="shared" si="151"/>
        <v>0.4549364250484666</v>
      </c>
      <c r="U170" s="53">
        <f t="shared" si="152"/>
        <v>3.841459149489757</v>
      </c>
      <c r="V170" s="53">
        <f t="shared" si="132"/>
        <v>8.6432736180961992E-3</v>
      </c>
      <c r="W170" s="52">
        <f t="shared" si="133"/>
        <v>2</v>
      </c>
      <c r="X170" s="53">
        <f t="shared" si="153"/>
        <v>0.10258658882167279</v>
      </c>
      <c r="Y170" s="53">
        <f t="shared" si="154"/>
        <v>1.3862943760896287</v>
      </c>
      <c r="Z170" s="53">
        <f t="shared" si="155"/>
        <v>5.9914645471914136</v>
      </c>
      <c r="AA170" s="53">
        <f t="shared" si="134"/>
        <v>7.4000580678284605E-2</v>
      </c>
      <c r="AB170" s="53">
        <f t="shared" si="135"/>
        <v>1.285040104811463</v>
      </c>
      <c r="AC170" s="53">
        <f t="shared" si="136"/>
        <v>3.2052614432627372E-2</v>
      </c>
      <c r="AD170" s="53">
        <f t="shared" si="137"/>
        <v>0.72041079303022881</v>
      </c>
      <c r="AE170" s="54">
        <f t="shared" si="138"/>
        <v>4.4542969133958481</v>
      </c>
    </row>
    <row r="171" spans="2:31" ht="15" customHeight="1" x14ac:dyDescent="0.3">
      <c r="B171" s="49">
        <f t="shared" si="140"/>
        <v>160</v>
      </c>
      <c r="C171" s="62" t="s">
        <v>381</v>
      </c>
      <c r="D171" s="112" t="s">
        <v>148</v>
      </c>
      <c r="E171" s="60" t="s">
        <v>230</v>
      </c>
      <c r="F171" s="39"/>
      <c r="G171" s="40"/>
      <c r="H171" s="40"/>
      <c r="I171" s="120" t="e">
        <f t="shared" si="124"/>
        <v>#DIV/0!</v>
      </c>
      <c r="J171" s="42" t="e">
        <f t="shared" si="125"/>
        <v>#DIV/0!</v>
      </c>
      <c r="K171" s="41" t="e">
        <f t="shared" si="126"/>
        <v>#DIV/0!</v>
      </c>
      <c r="L171" s="43" t="e">
        <f t="shared" si="127"/>
        <v>#DIV/0!</v>
      </c>
      <c r="M171" s="43" t="e">
        <f t="shared" si="128"/>
        <v>#DIV/0!</v>
      </c>
      <c r="N171" s="43" t="e">
        <f t="shared" si="129"/>
        <v>#DIV/0!</v>
      </c>
      <c r="O171" s="43" t="e">
        <f t="shared" si="130"/>
        <v>#DIV/0!</v>
      </c>
      <c r="P171" s="44" t="e">
        <f t="shared" si="131"/>
        <v>#DIV/0!</v>
      </c>
      <c r="Q171" s="45" t="e">
        <f t="shared" si="139"/>
        <v>#DIV/0!</v>
      </c>
      <c r="R171" s="52" t="e">
        <f t="shared" si="149"/>
        <v>#DIV/0!</v>
      </c>
      <c r="S171" s="53" t="e">
        <f t="shared" si="150"/>
        <v>#DIV/0!</v>
      </c>
      <c r="T171" s="53" t="e">
        <f t="shared" si="151"/>
        <v>#DIV/0!</v>
      </c>
      <c r="U171" s="53" t="e">
        <f t="shared" si="152"/>
        <v>#DIV/0!</v>
      </c>
      <c r="V171" s="53" t="e">
        <f t="shared" si="132"/>
        <v>#DIV/0!</v>
      </c>
      <c r="W171" s="52" t="e">
        <f t="shared" si="133"/>
        <v>#DIV/0!</v>
      </c>
      <c r="X171" s="53" t="e">
        <f t="shared" si="153"/>
        <v>#DIV/0!</v>
      </c>
      <c r="Y171" s="53" t="e">
        <f t="shared" si="154"/>
        <v>#DIV/0!</v>
      </c>
      <c r="Z171" s="53" t="e">
        <f t="shared" si="155"/>
        <v>#DIV/0!</v>
      </c>
      <c r="AA171" s="53" t="e">
        <f t="shared" si="134"/>
        <v>#DIV/0!</v>
      </c>
      <c r="AB171" s="53" t="e">
        <f t="shared" si="135"/>
        <v>#DIV/0!</v>
      </c>
      <c r="AC171" s="53" t="e">
        <f t="shared" si="136"/>
        <v>#DIV/0!</v>
      </c>
      <c r="AD171" s="53" t="e">
        <f t="shared" si="137"/>
        <v>#DIV/0!</v>
      </c>
      <c r="AE171" s="54" t="e">
        <f t="shared" si="138"/>
        <v>#DIV/0!</v>
      </c>
    </row>
    <row r="172" spans="2:31" ht="15" customHeight="1" x14ac:dyDescent="0.3">
      <c r="B172" s="49">
        <f t="shared" si="140"/>
        <v>161</v>
      </c>
      <c r="C172" s="62" t="s">
        <v>381</v>
      </c>
      <c r="D172" s="112" t="s">
        <v>149</v>
      </c>
      <c r="E172" s="60" t="s">
        <v>231</v>
      </c>
      <c r="F172" s="39">
        <v>0.3</v>
      </c>
      <c r="G172" s="40">
        <v>11</v>
      </c>
      <c r="H172" s="40">
        <v>136</v>
      </c>
      <c r="I172" s="120">
        <f t="shared" si="124"/>
        <v>0.64252005240573151</v>
      </c>
      <c r="J172" s="42">
        <f t="shared" si="125"/>
        <v>5.8410913855066499E-2</v>
      </c>
      <c r="K172" s="41">
        <f t="shared" si="126"/>
        <v>17.120088250652511</v>
      </c>
      <c r="L172" s="43">
        <f t="shared" si="127"/>
        <v>0.27437179387535948</v>
      </c>
      <c r="M172" s="43">
        <f t="shared" si="128"/>
        <v>11</v>
      </c>
      <c r="N172" s="43">
        <f t="shared" si="129"/>
        <v>6.1667481767000387</v>
      </c>
      <c r="O172" s="43">
        <f t="shared" si="130"/>
        <v>38.128978125972999</v>
      </c>
      <c r="P172" s="44">
        <f t="shared" si="131"/>
        <v>13.723008808463895</v>
      </c>
      <c r="Q172" s="45">
        <f t="shared" si="139"/>
        <v>2.7272727272727271E-2</v>
      </c>
      <c r="R172" s="52">
        <v>1</v>
      </c>
      <c r="S172" s="53">
        <v>3.9321400005324098E-3</v>
      </c>
      <c r="T172" s="53">
        <v>0.4549364250484666</v>
      </c>
      <c r="U172" s="53">
        <v>3.841459149489757</v>
      </c>
      <c r="V172" s="53">
        <f t="shared" si="132"/>
        <v>8.6432736180961992E-3</v>
      </c>
      <c r="W172" s="52">
        <f t="shared" si="133"/>
        <v>2</v>
      </c>
      <c r="X172" s="53">
        <v>0.10258658882167279</v>
      </c>
      <c r="Y172" s="53">
        <v>1.3862943760896287</v>
      </c>
      <c r="Z172" s="53">
        <v>5.9914645471914136</v>
      </c>
      <c r="AA172" s="53">
        <f t="shared" si="134"/>
        <v>7.4000580678284605E-2</v>
      </c>
      <c r="AB172" s="53">
        <f t="shared" si="135"/>
        <v>1.285040104811463</v>
      </c>
      <c r="AC172" s="53">
        <f t="shared" si="136"/>
        <v>3.2052614432627372E-2</v>
      </c>
      <c r="AD172" s="53">
        <f t="shared" si="137"/>
        <v>0.72041079303022881</v>
      </c>
      <c r="AE172" s="54">
        <f t="shared" si="138"/>
        <v>4.4542969133958481</v>
      </c>
    </row>
    <row r="173" spans="2:31" ht="15" customHeight="1" x14ac:dyDescent="0.3">
      <c r="B173" s="49">
        <f t="shared" si="140"/>
        <v>162</v>
      </c>
      <c r="C173" s="62" t="s">
        <v>381</v>
      </c>
      <c r="D173" s="112" t="s">
        <v>150</v>
      </c>
      <c r="E173" s="60" t="s">
        <v>232</v>
      </c>
      <c r="F173" s="39">
        <v>0.3</v>
      </c>
      <c r="G173" s="40">
        <v>11</v>
      </c>
      <c r="H173" s="40">
        <v>136</v>
      </c>
      <c r="I173" s="120">
        <f t="shared" si="124"/>
        <v>0.64252005240573151</v>
      </c>
      <c r="J173" s="42">
        <f t="shared" si="125"/>
        <v>5.8410913855066499E-2</v>
      </c>
      <c r="K173" s="41">
        <f t="shared" si="126"/>
        <v>17.120088250652511</v>
      </c>
      <c r="L173" s="43">
        <f t="shared" si="127"/>
        <v>0.27437179387535948</v>
      </c>
      <c r="M173" s="43">
        <f t="shared" si="128"/>
        <v>11</v>
      </c>
      <c r="N173" s="43">
        <f t="shared" si="129"/>
        <v>6.1667481767000387</v>
      </c>
      <c r="O173" s="43">
        <f t="shared" si="130"/>
        <v>38.128978125972999</v>
      </c>
      <c r="P173" s="44">
        <f t="shared" si="131"/>
        <v>13.723008808463895</v>
      </c>
      <c r="Q173" s="45">
        <f t="shared" si="139"/>
        <v>2.7272727272727271E-2</v>
      </c>
      <c r="R173" s="52">
        <v>1</v>
      </c>
      <c r="S173" s="53">
        <v>3.9321400005324098E-3</v>
      </c>
      <c r="T173" s="53">
        <v>0.4549364250484666</v>
      </c>
      <c r="U173" s="53">
        <v>3.841459149489757</v>
      </c>
      <c r="V173" s="53">
        <f t="shared" si="132"/>
        <v>8.6432736180961992E-3</v>
      </c>
      <c r="W173" s="52">
        <f t="shared" si="133"/>
        <v>2</v>
      </c>
      <c r="X173" s="53">
        <v>0.10258658882167279</v>
      </c>
      <c r="Y173" s="53">
        <v>1.3862943760896287</v>
      </c>
      <c r="Z173" s="53">
        <v>5.9914645471914136</v>
      </c>
      <c r="AA173" s="53">
        <f t="shared" si="134"/>
        <v>7.4000580678284605E-2</v>
      </c>
      <c r="AB173" s="53">
        <f t="shared" si="135"/>
        <v>1.285040104811463</v>
      </c>
      <c r="AC173" s="53">
        <f t="shared" si="136"/>
        <v>3.2052614432627372E-2</v>
      </c>
      <c r="AD173" s="53">
        <f t="shared" si="137"/>
        <v>0.72041079303022881</v>
      </c>
      <c r="AE173" s="54">
        <f t="shared" si="138"/>
        <v>4.4542969133958481</v>
      </c>
    </row>
    <row r="174" spans="2:31" ht="15" customHeight="1" x14ac:dyDescent="0.3">
      <c r="B174" s="49">
        <f t="shared" si="140"/>
        <v>163</v>
      </c>
      <c r="C174" s="62" t="s">
        <v>382</v>
      </c>
      <c r="D174" s="112" t="s">
        <v>151</v>
      </c>
      <c r="E174" s="60" t="s">
        <v>230</v>
      </c>
      <c r="F174" s="39"/>
      <c r="G174" s="40"/>
      <c r="H174" s="40"/>
      <c r="I174" s="120" t="e">
        <f t="shared" si="124"/>
        <v>#DIV/0!</v>
      </c>
      <c r="J174" s="42" t="e">
        <f t="shared" si="125"/>
        <v>#DIV/0!</v>
      </c>
      <c r="K174" s="41" t="e">
        <f t="shared" si="126"/>
        <v>#DIV/0!</v>
      </c>
      <c r="L174" s="43" t="e">
        <f t="shared" si="127"/>
        <v>#DIV/0!</v>
      </c>
      <c r="M174" s="43" t="e">
        <f t="shared" si="128"/>
        <v>#DIV/0!</v>
      </c>
      <c r="N174" s="43" t="e">
        <f t="shared" si="129"/>
        <v>#DIV/0!</v>
      </c>
      <c r="O174" s="43" t="e">
        <f t="shared" si="130"/>
        <v>#DIV/0!</v>
      </c>
      <c r="P174" s="44" t="e">
        <f t="shared" si="131"/>
        <v>#DIV/0!</v>
      </c>
      <c r="Q174" s="45" t="e">
        <f t="shared" si="139"/>
        <v>#DIV/0!</v>
      </c>
      <c r="R174" s="52" t="e">
        <v>#DIV/0!</v>
      </c>
      <c r="S174" s="53" t="e">
        <v>#DIV/0!</v>
      </c>
      <c r="T174" s="53" t="e">
        <v>#DIV/0!</v>
      </c>
      <c r="U174" s="53" t="e">
        <v>#DIV/0!</v>
      </c>
      <c r="V174" s="53" t="e">
        <f t="shared" si="132"/>
        <v>#DIV/0!</v>
      </c>
      <c r="W174" s="52" t="e">
        <f t="shared" si="133"/>
        <v>#DIV/0!</v>
      </c>
      <c r="X174" s="53" t="e">
        <v>#DIV/0!</v>
      </c>
      <c r="Y174" s="53" t="e">
        <v>#DIV/0!</v>
      </c>
      <c r="Z174" s="53" t="e">
        <v>#DIV/0!</v>
      </c>
      <c r="AA174" s="53" t="e">
        <f t="shared" si="134"/>
        <v>#DIV/0!</v>
      </c>
      <c r="AB174" s="53" t="e">
        <f t="shared" si="135"/>
        <v>#DIV/0!</v>
      </c>
      <c r="AC174" s="53" t="e">
        <f t="shared" si="136"/>
        <v>#DIV/0!</v>
      </c>
      <c r="AD174" s="53" t="e">
        <f t="shared" si="137"/>
        <v>#DIV/0!</v>
      </c>
      <c r="AE174" s="54" t="e">
        <f t="shared" si="138"/>
        <v>#DIV/0!</v>
      </c>
    </row>
    <row r="175" spans="2:31" ht="15" customHeight="1" x14ac:dyDescent="0.3">
      <c r="B175" s="49">
        <f t="shared" si="140"/>
        <v>164</v>
      </c>
      <c r="C175" s="62" t="s">
        <v>382</v>
      </c>
      <c r="D175" s="112" t="s">
        <v>152</v>
      </c>
      <c r="E175" s="64" t="s">
        <v>233</v>
      </c>
      <c r="F175" s="39">
        <v>0.3</v>
      </c>
      <c r="G175" s="40">
        <v>11</v>
      </c>
      <c r="H175" s="40">
        <v>136</v>
      </c>
      <c r="I175" s="120">
        <f t="shared" si="124"/>
        <v>0.64252005240573151</v>
      </c>
      <c r="J175" s="42">
        <f t="shared" si="125"/>
        <v>5.8410913855066499E-2</v>
      </c>
      <c r="K175" s="41">
        <f t="shared" si="126"/>
        <v>17.120088250652511</v>
      </c>
      <c r="L175" s="43">
        <f t="shared" si="127"/>
        <v>0.27437179387535948</v>
      </c>
      <c r="M175" s="43">
        <f t="shared" si="128"/>
        <v>11</v>
      </c>
      <c r="N175" s="43">
        <f t="shared" si="129"/>
        <v>6.1667481767000387</v>
      </c>
      <c r="O175" s="43">
        <f t="shared" si="130"/>
        <v>38.128978125972999</v>
      </c>
      <c r="P175" s="44">
        <f t="shared" si="131"/>
        <v>13.723008808463895</v>
      </c>
      <c r="Q175" s="45">
        <f t="shared" si="139"/>
        <v>2.7272727272727271E-2</v>
      </c>
      <c r="R175" s="52">
        <v>1</v>
      </c>
      <c r="S175" s="53">
        <v>3.9321400005324098E-3</v>
      </c>
      <c r="T175" s="53">
        <v>0.4549364250484666</v>
      </c>
      <c r="U175" s="53">
        <v>3.841459149489757</v>
      </c>
      <c r="V175" s="53">
        <f t="shared" si="132"/>
        <v>8.6432736180961992E-3</v>
      </c>
      <c r="W175" s="52">
        <f t="shared" si="133"/>
        <v>2</v>
      </c>
      <c r="X175" s="53">
        <v>0.10258658882167279</v>
      </c>
      <c r="Y175" s="53">
        <v>1.3862943760896287</v>
      </c>
      <c r="Z175" s="53">
        <v>5.9914645471914136</v>
      </c>
      <c r="AA175" s="53">
        <f t="shared" si="134"/>
        <v>7.4000580678284605E-2</v>
      </c>
      <c r="AB175" s="53">
        <f t="shared" si="135"/>
        <v>1.285040104811463</v>
      </c>
      <c r="AC175" s="53">
        <f t="shared" si="136"/>
        <v>3.2052614432627372E-2</v>
      </c>
      <c r="AD175" s="53">
        <f t="shared" si="137"/>
        <v>0.72041079303022881</v>
      </c>
      <c r="AE175" s="54">
        <f t="shared" si="138"/>
        <v>4.4542969133958481</v>
      </c>
    </row>
    <row r="176" spans="2:31" ht="15" customHeight="1" x14ac:dyDescent="0.3">
      <c r="B176" s="49">
        <f t="shared" si="140"/>
        <v>165</v>
      </c>
      <c r="C176" s="62" t="s">
        <v>382</v>
      </c>
      <c r="D176" s="112" t="s">
        <v>153</v>
      </c>
      <c r="E176" s="64" t="s">
        <v>234</v>
      </c>
      <c r="F176" s="39">
        <v>0.3</v>
      </c>
      <c r="G176" s="40">
        <v>11</v>
      </c>
      <c r="H176" s="40">
        <v>136</v>
      </c>
      <c r="I176" s="120">
        <f t="shared" si="124"/>
        <v>0.64252005240573151</v>
      </c>
      <c r="J176" s="42">
        <f t="shared" si="125"/>
        <v>5.8410913855066499E-2</v>
      </c>
      <c r="K176" s="41">
        <f t="shared" si="126"/>
        <v>17.120088250652511</v>
      </c>
      <c r="L176" s="43">
        <f t="shared" si="127"/>
        <v>0.27437179387535948</v>
      </c>
      <c r="M176" s="43">
        <f t="shared" si="128"/>
        <v>11</v>
      </c>
      <c r="N176" s="43">
        <f t="shared" si="129"/>
        <v>6.1667481767000387</v>
      </c>
      <c r="O176" s="43">
        <f t="shared" si="130"/>
        <v>38.128978125972999</v>
      </c>
      <c r="P176" s="44">
        <f t="shared" si="131"/>
        <v>13.723008808463895</v>
      </c>
      <c r="Q176" s="45">
        <f t="shared" si="139"/>
        <v>2.7272727272727271E-2</v>
      </c>
      <c r="R176" s="52">
        <v>1</v>
      </c>
      <c r="S176" s="53">
        <v>3.9321400005324098E-3</v>
      </c>
      <c r="T176" s="53">
        <v>0.4549364250484666</v>
      </c>
      <c r="U176" s="53">
        <v>3.841459149489757</v>
      </c>
      <c r="V176" s="53">
        <f t="shared" si="132"/>
        <v>8.6432736180961992E-3</v>
      </c>
      <c r="W176" s="52">
        <f t="shared" si="133"/>
        <v>2</v>
      </c>
      <c r="X176" s="53">
        <v>0.10258658882167279</v>
      </c>
      <c r="Y176" s="53">
        <v>1.3862943760896287</v>
      </c>
      <c r="Z176" s="53">
        <v>5.9914645471914136</v>
      </c>
      <c r="AA176" s="53">
        <f t="shared" si="134"/>
        <v>7.4000580678284605E-2</v>
      </c>
      <c r="AB176" s="53">
        <f t="shared" si="135"/>
        <v>1.285040104811463</v>
      </c>
      <c r="AC176" s="53">
        <f t="shared" si="136"/>
        <v>3.2052614432627372E-2</v>
      </c>
      <c r="AD176" s="53">
        <f t="shared" si="137"/>
        <v>0.72041079303022881</v>
      </c>
      <c r="AE176" s="54">
        <f t="shared" si="138"/>
        <v>4.4542969133958481</v>
      </c>
    </row>
    <row r="177" spans="2:31" ht="15" customHeight="1" x14ac:dyDescent="0.3">
      <c r="B177" s="49">
        <f t="shared" si="140"/>
        <v>166</v>
      </c>
      <c r="C177" s="62" t="s">
        <v>382</v>
      </c>
      <c r="D177" s="112" t="s">
        <v>154</v>
      </c>
      <c r="E177" s="60" t="s">
        <v>235</v>
      </c>
      <c r="F177" s="39"/>
      <c r="G177" s="40"/>
      <c r="H177" s="40"/>
      <c r="I177" s="120" t="e">
        <f t="shared" si="124"/>
        <v>#DIV/0!</v>
      </c>
      <c r="J177" s="42" t="e">
        <f t="shared" si="125"/>
        <v>#DIV/0!</v>
      </c>
      <c r="K177" s="41" t="e">
        <f t="shared" si="126"/>
        <v>#DIV/0!</v>
      </c>
      <c r="L177" s="43" t="e">
        <f t="shared" si="127"/>
        <v>#DIV/0!</v>
      </c>
      <c r="M177" s="43" t="e">
        <f t="shared" si="128"/>
        <v>#DIV/0!</v>
      </c>
      <c r="N177" s="43" t="e">
        <f t="shared" si="129"/>
        <v>#DIV/0!</v>
      </c>
      <c r="O177" s="43" t="e">
        <f t="shared" si="130"/>
        <v>#DIV/0!</v>
      </c>
      <c r="P177" s="44" t="e">
        <f t="shared" si="131"/>
        <v>#DIV/0!</v>
      </c>
      <c r="Q177" s="45" t="e">
        <f t="shared" si="139"/>
        <v>#DIV/0!</v>
      </c>
      <c r="R177" s="52" t="e">
        <v>#DIV/0!</v>
      </c>
      <c r="S177" s="53" t="e">
        <v>#DIV/0!</v>
      </c>
      <c r="T177" s="53" t="e">
        <v>#DIV/0!</v>
      </c>
      <c r="U177" s="53" t="e">
        <v>#DIV/0!</v>
      </c>
      <c r="V177" s="53" t="e">
        <f t="shared" si="132"/>
        <v>#DIV/0!</v>
      </c>
      <c r="W177" s="52" t="e">
        <f t="shared" si="133"/>
        <v>#DIV/0!</v>
      </c>
      <c r="X177" s="53" t="e">
        <v>#DIV/0!</v>
      </c>
      <c r="Y177" s="53" t="e">
        <v>#DIV/0!</v>
      </c>
      <c r="Z177" s="53" t="e">
        <v>#DIV/0!</v>
      </c>
      <c r="AA177" s="53" t="e">
        <f t="shared" si="134"/>
        <v>#DIV/0!</v>
      </c>
      <c r="AB177" s="53" t="e">
        <f t="shared" si="135"/>
        <v>#DIV/0!</v>
      </c>
      <c r="AC177" s="53" t="e">
        <f t="shared" si="136"/>
        <v>#DIV/0!</v>
      </c>
      <c r="AD177" s="53" t="e">
        <f t="shared" si="137"/>
        <v>#DIV/0!</v>
      </c>
      <c r="AE177" s="54" t="e">
        <f t="shared" si="138"/>
        <v>#DIV/0!</v>
      </c>
    </row>
    <row r="178" spans="2:31" ht="15" customHeight="1" x14ac:dyDescent="0.3">
      <c r="B178" s="49">
        <f t="shared" si="140"/>
        <v>167</v>
      </c>
      <c r="C178" s="62" t="s">
        <v>382</v>
      </c>
      <c r="D178" s="112" t="s">
        <v>155</v>
      </c>
      <c r="E178" s="60" t="s">
        <v>227</v>
      </c>
      <c r="F178" s="39"/>
      <c r="G178" s="40"/>
      <c r="H178" s="40"/>
      <c r="I178" s="120" t="e">
        <f t="shared" si="124"/>
        <v>#DIV/0!</v>
      </c>
      <c r="J178" s="42" t="e">
        <f t="shared" si="125"/>
        <v>#DIV/0!</v>
      </c>
      <c r="K178" s="41" t="e">
        <f t="shared" si="126"/>
        <v>#DIV/0!</v>
      </c>
      <c r="L178" s="43" t="e">
        <f t="shared" si="127"/>
        <v>#DIV/0!</v>
      </c>
      <c r="M178" s="43" t="e">
        <f t="shared" si="128"/>
        <v>#DIV/0!</v>
      </c>
      <c r="N178" s="43" t="e">
        <f t="shared" si="129"/>
        <v>#DIV/0!</v>
      </c>
      <c r="O178" s="43" t="e">
        <f t="shared" si="130"/>
        <v>#DIV/0!</v>
      </c>
      <c r="P178" s="44" t="e">
        <f t="shared" si="131"/>
        <v>#DIV/0!</v>
      </c>
      <c r="Q178" s="45" t="e">
        <f t="shared" si="139"/>
        <v>#DIV/0!</v>
      </c>
      <c r="R178" s="52" t="e">
        <v>#DIV/0!</v>
      </c>
      <c r="S178" s="53" t="e">
        <v>#DIV/0!</v>
      </c>
      <c r="T178" s="53" t="e">
        <v>#DIV/0!</v>
      </c>
      <c r="U178" s="53" t="e">
        <v>#DIV/0!</v>
      </c>
      <c r="V178" s="53" t="e">
        <f t="shared" si="132"/>
        <v>#DIV/0!</v>
      </c>
      <c r="W178" s="52" t="e">
        <f t="shared" si="133"/>
        <v>#DIV/0!</v>
      </c>
      <c r="X178" s="53" t="e">
        <v>#DIV/0!</v>
      </c>
      <c r="Y178" s="53" t="e">
        <v>#DIV/0!</v>
      </c>
      <c r="Z178" s="53" t="e">
        <v>#DIV/0!</v>
      </c>
      <c r="AA178" s="53" t="e">
        <f t="shared" si="134"/>
        <v>#DIV/0!</v>
      </c>
      <c r="AB178" s="53" t="e">
        <f t="shared" si="135"/>
        <v>#DIV/0!</v>
      </c>
      <c r="AC178" s="53" t="e">
        <f t="shared" si="136"/>
        <v>#DIV/0!</v>
      </c>
      <c r="AD178" s="53" t="e">
        <f t="shared" si="137"/>
        <v>#DIV/0!</v>
      </c>
      <c r="AE178" s="54" t="e">
        <f t="shared" si="138"/>
        <v>#DIV/0!</v>
      </c>
    </row>
    <row r="179" spans="2:31" ht="15" customHeight="1" x14ac:dyDescent="0.3">
      <c r="B179" s="49">
        <f t="shared" si="140"/>
        <v>168</v>
      </c>
      <c r="C179" s="62" t="s">
        <v>382</v>
      </c>
      <c r="D179" s="112" t="s">
        <v>156</v>
      </c>
      <c r="E179" s="64" t="s">
        <v>236</v>
      </c>
      <c r="F179" s="39">
        <v>0.3</v>
      </c>
      <c r="G179" s="40">
        <v>11</v>
      </c>
      <c r="H179" s="40">
        <v>136</v>
      </c>
      <c r="I179" s="120">
        <f t="shared" si="124"/>
        <v>0.64252005240573151</v>
      </c>
      <c r="J179" s="42">
        <f t="shared" si="125"/>
        <v>5.8410913855066499E-2</v>
      </c>
      <c r="K179" s="41">
        <f t="shared" si="126"/>
        <v>17.120088250652511</v>
      </c>
      <c r="L179" s="43">
        <f t="shared" si="127"/>
        <v>0.27437179387535948</v>
      </c>
      <c r="M179" s="43">
        <f t="shared" si="128"/>
        <v>11</v>
      </c>
      <c r="N179" s="43">
        <f t="shared" si="129"/>
        <v>6.1667481767000387</v>
      </c>
      <c r="O179" s="43">
        <f t="shared" si="130"/>
        <v>38.128978125972999</v>
      </c>
      <c r="P179" s="44">
        <f t="shared" si="131"/>
        <v>13.723008808463895</v>
      </c>
      <c r="Q179" s="45">
        <f t="shared" si="139"/>
        <v>2.7272727272727271E-2</v>
      </c>
      <c r="R179" s="52">
        <v>1</v>
      </c>
      <c r="S179" s="53">
        <v>3.9321400005324098E-3</v>
      </c>
      <c r="T179" s="53">
        <v>0.4549364250484666</v>
      </c>
      <c r="U179" s="53">
        <v>3.841459149489757</v>
      </c>
      <c r="V179" s="53">
        <f t="shared" si="132"/>
        <v>8.6432736180961992E-3</v>
      </c>
      <c r="W179" s="52">
        <f t="shared" si="133"/>
        <v>2</v>
      </c>
      <c r="X179" s="53">
        <v>0.10258658882167279</v>
      </c>
      <c r="Y179" s="53">
        <v>1.3862943760896287</v>
      </c>
      <c r="Z179" s="53">
        <v>5.9914645471914136</v>
      </c>
      <c r="AA179" s="53">
        <f t="shared" si="134"/>
        <v>7.4000580678284605E-2</v>
      </c>
      <c r="AB179" s="53">
        <f t="shared" si="135"/>
        <v>1.285040104811463</v>
      </c>
      <c r="AC179" s="53">
        <f t="shared" si="136"/>
        <v>3.2052614432627372E-2</v>
      </c>
      <c r="AD179" s="53">
        <f t="shared" si="137"/>
        <v>0.72041079303022881</v>
      </c>
      <c r="AE179" s="54">
        <f t="shared" si="138"/>
        <v>4.4542969133958481</v>
      </c>
    </row>
    <row r="180" spans="2:31" ht="15" customHeight="1" x14ac:dyDescent="0.3">
      <c r="B180" s="49">
        <f t="shared" si="140"/>
        <v>169</v>
      </c>
      <c r="C180" s="62" t="s">
        <v>382</v>
      </c>
      <c r="D180" s="112" t="s">
        <v>157</v>
      </c>
      <c r="E180" s="64" t="s">
        <v>237</v>
      </c>
      <c r="F180" s="39">
        <v>0.3</v>
      </c>
      <c r="G180" s="40">
        <v>11</v>
      </c>
      <c r="H180" s="40">
        <v>136</v>
      </c>
      <c r="I180" s="120">
        <f t="shared" si="124"/>
        <v>0.64252005240573151</v>
      </c>
      <c r="J180" s="42">
        <f t="shared" si="125"/>
        <v>5.8410913855066499E-2</v>
      </c>
      <c r="K180" s="41">
        <f t="shared" si="126"/>
        <v>17.120088250652511</v>
      </c>
      <c r="L180" s="43">
        <f t="shared" si="127"/>
        <v>0.27437179387535948</v>
      </c>
      <c r="M180" s="43">
        <f t="shared" si="128"/>
        <v>11</v>
      </c>
      <c r="N180" s="43">
        <f t="shared" si="129"/>
        <v>6.1667481767000387</v>
      </c>
      <c r="O180" s="43">
        <f t="shared" si="130"/>
        <v>38.128978125972999</v>
      </c>
      <c r="P180" s="44">
        <f t="shared" si="131"/>
        <v>13.723008808463895</v>
      </c>
      <c r="Q180" s="45">
        <f t="shared" si="139"/>
        <v>2.7272727272727271E-2</v>
      </c>
      <c r="R180" s="52">
        <v>1</v>
      </c>
      <c r="S180" s="53">
        <v>3.9321400005324098E-3</v>
      </c>
      <c r="T180" s="53">
        <v>0.4549364250484666</v>
      </c>
      <c r="U180" s="53">
        <v>3.841459149489757</v>
      </c>
      <c r="V180" s="53">
        <f t="shared" si="132"/>
        <v>8.6432736180961992E-3</v>
      </c>
      <c r="W180" s="52">
        <f t="shared" si="133"/>
        <v>2</v>
      </c>
      <c r="X180" s="53">
        <v>0.10258658882167279</v>
      </c>
      <c r="Y180" s="53">
        <v>1.3862943760896287</v>
      </c>
      <c r="Z180" s="53">
        <v>5.9914645471914136</v>
      </c>
      <c r="AA180" s="53">
        <f t="shared" si="134"/>
        <v>7.4000580678284605E-2</v>
      </c>
      <c r="AB180" s="53">
        <f t="shared" si="135"/>
        <v>1.285040104811463</v>
      </c>
      <c r="AC180" s="53">
        <f t="shared" si="136"/>
        <v>3.2052614432627372E-2</v>
      </c>
      <c r="AD180" s="53">
        <f t="shared" si="137"/>
        <v>0.72041079303022881</v>
      </c>
      <c r="AE180" s="54">
        <f t="shared" si="138"/>
        <v>4.4542969133958481</v>
      </c>
    </row>
    <row r="181" spans="2:31" ht="15" customHeight="1" x14ac:dyDescent="0.3">
      <c r="B181" s="49">
        <f t="shared" si="140"/>
        <v>170</v>
      </c>
      <c r="C181" s="62" t="s">
        <v>382</v>
      </c>
      <c r="D181" s="112" t="s">
        <v>158</v>
      </c>
      <c r="E181" s="60" t="s">
        <v>238</v>
      </c>
      <c r="F181" s="39"/>
      <c r="G181" s="40"/>
      <c r="H181" s="40"/>
      <c r="I181" s="120" t="e">
        <f t="shared" si="124"/>
        <v>#DIV/0!</v>
      </c>
      <c r="J181" s="42" t="e">
        <f t="shared" si="125"/>
        <v>#DIV/0!</v>
      </c>
      <c r="K181" s="41" t="e">
        <f t="shared" si="126"/>
        <v>#DIV/0!</v>
      </c>
      <c r="L181" s="43" t="e">
        <f t="shared" si="127"/>
        <v>#DIV/0!</v>
      </c>
      <c r="M181" s="43" t="e">
        <f t="shared" si="128"/>
        <v>#DIV/0!</v>
      </c>
      <c r="N181" s="43" t="e">
        <f t="shared" si="129"/>
        <v>#DIV/0!</v>
      </c>
      <c r="O181" s="43" t="e">
        <f t="shared" si="130"/>
        <v>#DIV/0!</v>
      </c>
      <c r="P181" s="44" t="e">
        <f t="shared" si="131"/>
        <v>#DIV/0!</v>
      </c>
      <c r="Q181" s="45" t="e">
        <f t="shared" si="139"/>
        <v>#DIV/0!</v>
      </c>
      <c r="R181" s="52" t="e">
        <v>#DIV/0!</v>
      </c>
      <c r="S181" s="53" t="e">
        <v>#DIV/0!</v>
      </c>
      <c r="T181" s="53" t="e">
        <v>#DIV/0!</v>
      </c>
      <c r="U181" s="53" t="e">
        <v>#DIV/0!</v>
      </c>
      <c r="V181" s="53" t="e">
        <f t="shared" si="132"/>
        <v>#DIV/0!</v>
      </c>
      <c r="W181" s="52" t="e">
        <f t="shared" si="133"/>
        <v>#DIV/0!</v>
      </c>
      <c r="X181" s="53" t="e">
        <v>#DIV/0!</v>
      </c>
      <c r="Y181" s="53" t="e">
        <v>#DIV/0!</v>
      </c>
      <c r="Z181" s="53" t="e">
        <v>#DIV/0!</v>
      </c>
      <c r="AA181" s="53" t="e">
        <f t="shared" si="134"/>
        <v>#DIV/0!</v>
      </c>
      <c r="AB181" s="53" t="e">
        <f t="shared" si="135"/>
        <v>#DIV/0!</v>
      </c>
      <c r="AC181" s="53" t="e">
        <f t="shared" si="136"/>
        <v>#DIV/0!</v>
      </c>
      <c r="AD181" s="53" t="e">
        <f t="shared" si="137"/>
        <v>#DIV/0!</v>
      </c>
      <c r="AE181" s="54" t="e">
        <f t="shared" si="138"/>
        <v>#DIV/0!</v>
      </c>
    </row>
    <row r="182" spans="2:31" x14ac:dyDescent="0.3">
      <c r="B182" s="49"/>
      <c r="C182" s="14"/>
      <c r="D182" s="4"/>
      <c r="E182" s="4"/>
    </row>
    <row r="183" spans="2:31" x14ac:dyDescent="0.3">
      <c r="B183" s="14"/>
      <c r="C183" s="14"/>
      <c r="D183" s="4"/>
      <c r="E183" s="4"/>
    </row>
    <row r="184" spans="2:31" x14ac:dyDescent="0.3">
      <c r="B184" s="14"/>
      <c r="C184" s="14"/>
      <c r="D184" s="4"/>
      <c r="E184" s="4"/>
    </row>
    <row r="185" spans="2:31" x14ac:dyDescent="0.3">
      <c r="B185" s="14"/>
      <c r="C185" s="14"/>
      <c r="D185" s="4"/>
      <c r="E185" s="4"/>
    </row>
    <row r="186" spans="2:31" x14ac:dyDescent="0.3">
      <c r="B186" s="14"/>
      <c r="C186" s="14"/>
      <c r="D186" s="4"/>
      <c r="E186" s="4"/>
    </row>
    <row r="187" spans="2:31" x14ac:dyDescent="0.3">
      <c r="B187" s="14"/>
      <c r="C187" s="14"/>
      <c r="D187" s="4"/>
      <c r="E187" s="4"/>
    </row>
    <row r="188" spans="2:31" x14ac:dyDescent="0.3">
      <c r="B188" s="14"/>
      <c r="C188" s="14"/>
      <c r="D188" s="4"/>
      <c r="E188" s="4"/>
    </row>
    <row r="189" spans="2:31" x14ac:dyDescent="0.3">
      <c r="B189" s="14"/>
      <c r="C189" s="14"/>
      <c r="D189" s="4"/>
      <c r="E189" s="4"/>
    </row>
    <row r="190" spans="2:31" x14ac:dyDescent="0.3">
      <c r="B190" s="14"/>
      <c r="C190" s="14"/>
      <c r="D190" s="4"/>
      <c r="E190" s="4"/>
    </row>
    <row r="191" spans="2:31" x14ac:dyDescent="0.3">
      <c r="B191" s="14"/>
      <c r="C191" s="14"/>
      <c r="D191" s="4"/>
      <c r="E191" s="4"/>
    </row>
    <row r="192" spans="2:31" x14ac:dyDescent="0.3">
      <c r="B192" s="14"/>
      <c r="C192" s="14"/>
      <c r="D192" s="4"/>
      <c r="E192" s="4"/>
    </row>
    <row r="193" spans="2:5" x14ac:dyDescent="0.3">
      <c r="B193" s="14"/>
      <c r="C193" s="14"/>
      <c r="D193" s="4"/>
      <c r="E193" s="4"/>
    </row>
    <row r="194" spans="2:5" x14ac:dyDescent="0.3">
      <c r="B194" s="14"/>
      <c r="C194" s="14"/>
      <c r="D194" s="4"/>
      <c r="E194" s="4"/>
    </row>
    <row r="195" spans="2:5" x14ac:dyDescent="0.3">
      <c r="B195" s="14"/>
      <c r="C195" s="14"/>
      <c r="D195" s="4"/>
      <c r="E195" s="4"/>
    </row>
    <row r="196" spans="2:5" x14ac:dyDescent="0.3">
      <c r="B196" s="14"/>
      <c r="C196" s="14"/>
      <c r="D196" s="4"/>
      <c r="E196" s="4"/>
    </row>
    <row r="197" spans="2:5" x14ac:dyDescent="0.3">
      <c r="B197" s="14"/>
      <c r="C197" s="14"/>
      <c r="D197" s="4"/>
      <c r="E197" s="4"/>
    </row>
    <row r="198" spans="2:5" x14ac:dyDescent="0.3">
      <c r="B198" s="14"/>
      <c r="C198" s="14"/>
      <c r="D198" s="4"/>
      <c r="E198" s="4"/>
    </row>
    <row r="199" spans="2:5" x14ac:dyDescent="0.3">
      <c r="B199" s="14"/>
      <c r="C199" s="14"/>
      <c r="D199" s="4"/>
      <c r="E199" s="4"/>
    </row>
    <row r="200" spans="2:5" x14ac:dyDescent="0.3">
      <c r="B200" s="14"/>
      <c r="C200" s="14"/>
      <c r="D200" s="4"/>
      <c r="E200" s="4"/>
    </row>
    <row r="201" spans="2:5" x14ac:dyDescent="0.3">
      <c r="B201" s="14"/>
      <c r="C201" s="14"/>
      <c r="D201" s="4"/>
      <c r="E201" s="4"/>
    </row>
    <row r="202" spans="2:5" x14ac:dyDescent="0.3">
      <c r="B202" s="14"/>
      <c r="C202" s="14"/>
      <c r="D202" s="4"/>
      <c r="E202" s="4"/>
    </row>
    <row r="203" spans="2:5" x14ac:dyDescent="0.3">
      <c r="B203" s="14"/>
      <c r="C203" s="14"/>
      <c r="D203" s="4"/>
      <c r="E203" s="4"/>
    </row>
    <row r="204" spans="2:5" x14ac:dyDescent="0.3">
      <c r="B204" s="14"/>
      <c r="C204" s="14"/>
      <c r="D204" s="4"/>
      <c r="E204" s="4"/>
    </row>
    <row r="205" spans="2:5" x14ac:dyDescent="0.3">
      <c r="B205" s="14"/>
      <c r="C205" s="14"/>
      <c r="D205" s="4"/>
      <c r="E205" s="4"/>
    </row>
    <row r="206" spans="2:5" x14ac:dyDescent="0.3">
      <c r="B206" s="14"/>
      <c r="C206" s="14"/>
      <c r="D206" s="4"/>
      <c r="E206" s="4"/>
    </row>
    <row r="207" spans="2:5" x14ac:dyDescent="0.3">
      <c r="B207" s="14"/>
      <c r="C207" s="14"/>
      <c r="D207" s="4"/>
      <c r="E207" s="4"/>
    </row>
    <row r="208" spans="2:5" x14ac:dyDescent="0.3">
      <c r="B208" s="14"/>
      <c r="C208" s="14"/>
      <c r="D208" s="4"/>
      <c r="E208" s="4"/>
    </row>
    <row r="209" spans="2:5" x14ac:dyDescent="0.3">
      <c r="B209" s="14"/>
      <c r="C209" s="14"/>
      <c r="D209" s="4"/>
      <c r="E209" s="4"/>
    </row>
    <row r="210" spans="2:5" x14ac:dyDescent="0.3">
      <c r="B210" s="14"/>
      <c r="C210" s="14"/>
      <c r="D210" s="4"/>
      <c r="E210" s="4"/>
    </row>
    <row r="211" spans="2:5" x14ac:dyDescent="0.3">
      <c r="B211" s="14"/>
      <c r="C211" s="14"/>
      <c r="D211" s="4"/>
      <c r="E211" s="4"/>
    </row>
    <row r="212" spans="2:5" x14ac:dyDescent="0.3">
      <c r="B212" s="14"/>
      <c r="C212" s="14"/>
      <c r="D212" s="4"/>
      <c r="E212" s="4"/>
    </row>
    <row r="213" spans="2:5" x14ac:dyDescent="0.3">
      <c r="B213" s="14"/>
      <c r="C213" s="14"/>
      <c r="D213" s="4"/>
      <c r="E213" s="4"/>
    </row>
    <row r="214" spans="2:5" x14ac:dyDescent="0.3">
      <c r="B214" s="14"/>
      <c r="C214" s="14"/>
      <c r="D214" s="4"/>
      <c r="E214" s="4"/>
    </row>
    <row r="215" spans="2:5" x14ac:dyDescent="0.3">
      <c r="B215" s="14"/>
      <c r="C215" s="14"/>
      <c r="D215" s="4"/>
      <c r="E215" s="4"/>
    </row>
    <row r="216" spans="2:5" x14ac:dyDescent="0.3">
      <c r="B216" s="14"/>
      <c r="C216" s="14"/>
      <c r="D216" s="4"/>
      <c r="E216" s="4"/>
    </row>
    <row r="217" spans="2:5" x14ac:dyDescent="0.3">
      <c r="B217" s="14"/>
      <c r="C217" s="14"/>
      <c r="D217" s="4"/>
      <c r="E217" s="4"/>
    </row>
    <row r="218" spans="2:5" x14ac:dyDescent="0.3">
      <c r="B218" s="14"/>
      <c r="C218" s="14"/>
      <c r="D218" s="4"/>
      <c r="E218" s="4"/>
    </row>
    <row r="219" spans="2:5" x14ac:dyDescent="0.3">
      <c r="B219" s="14"/>
      <c r="C219" s="14"/>
      <c r="D219" s="4"/>
      <c r="E219" s="4"/>
    </row>
    <row r="220" spans="2:5" x14ac:dyDescent="0.3">
      <c r="B220" s="14"/>
      <c r="C220" s="14"/>
      <c r="D220" s="4"/>
      <c r="E220" s="4"/>
    </row>
    <row r="221" spans="2:5" x14ac:dyDescent="0.3">
      <c r="B221" s="14"/>
      <c r="C221" s="14"/>
      <c r="D221" s="4"/>
      <c r="E221" s="65"/>
    </row>
    <row r="222" spans="2:5" x14ac:dyDescent="0.3">
      <c r="B222" s="14"/>
      <c r="C222" s="14"/>
      <c r="D222" s="4"/>
      <c r="E222" s="23"/>
    </row>
    <row r="223" spans="2:5" x14ac:dyDescent="0.3">
      <c r="B223" s="14"/>
      <c r="C223" s="14"/>
      <c r="D223" s="4"/>
      <c r="E223" s="23"/>
    </row>
    <row r="224" spans="2:5" x14ac:dyDescent="0.3">
      <c r="B224" s="14"/>
      <c r="C224" s="14"/>
      <c r="D224" s="4"/>
      <c r="E224" s="23"/>
    </row>
    <row r="225" spans="2:5" x14ac:dyDescent="0.3">
      <c r="B225" s="14"/>
      <c r="C225" s="14"/>
      <c r="D225" s="4"/>
      <c r="E225" s="23"/>
    </row>
    <row r="226" spans="2:5" x14ac:dyDescent="0.3">
      <c r="B226" s="14"/>
      <c r="C226" s="14"/>
      <c r="D226" s="4"/>
      <c r="E226" s="23"/>
    </row>
    <row r="227" spans="2:5" x14ac:dyDescent="0.3">
      <c r="B227" s="14"/>
      <c r="C227" s="14"/>
      <c r="D227" s="4"/>
      <c r="E227" s="23"/>
    </row>
    <row r="228" spans="2:5" x14ac:dyDescent="0.3">
      <c r="B228" s="14"/>
      <c r="C228" s="14"/>
      <c r="D228" s="4"/>
      <c r="E228" s="4"/>
    </row>
    <row r="229" spans="2:5" x14ac:dyDescent="0.3">
      <c r="B229" s="14"/>
      <c r="C229" s="14"/>
      <c r="D229" s="4"/>
      <c r="E229" s="4"/>
    </row>
    <row r="230" spans="2:5" x14ac:dyDescent="0.3">
      <c r="B230" s="14"/>
      <c r="C230" s="14"/>
      <c r="D230" s="4"/>
      <c r="E230" s="4"/>
    </row>
    <row r="231" spans="2:5" x14ac:dyDescent="0.3">
      <c r="B231" s="14"/>
      <c r="C231" s="14"/>
      <c r="D231" s="4"/>
      <c r="E231" s="4"/>
    </row>
    <row r="232" spans="2:5" x14ac:dyDescent="0.3">
      <c r="B232" s="14"/>
      <c r="C232" s="14"/>
      <c r="D232" s="4"/>
      <c r="E232" s="4"/>
    </row>
    <row r="233" spans="2:5" x14ac:dyDescent="0.3">
      <c r="B233" s="14"/>
      <c r="C233" s="14"/>
      <c r="D233" s="4"/>
      <c r="E233" s="4"/>
    </row>
    <row r="234" spans="2:5" x14ac:dyDescent="0.3">
      <c r="B234" s="14"/>
      <c r="C234" s="14"/>
      <c r="D234" s="4"/>
      <c r="E234" s="4"/>
    </row>
    <row r="235" spans="2:5" x14ac:dyDescent="0.3">
      <c r="B235" s="14"/>
      <c r="C235" s="14"/>
      <c r="D235" s="4"/>
      <c r="E235" s="4"/>
    </row>
  </sheetData>
  <autoFilter ref="A11:AM181" xr:uid="{00000000-0009-0000-0000-000008000000}"/>
  <mergeCells count="10">
    <mergeCell ref="AG8:AM9"/>
    <mergeCell ref="B9:E10"/>
    <mergeCell ref="F9:P9"/>
    <mergeCell ref="Q9:AE9"/>
    <mergeCell ref="F10:H10"/>
    <mergeCell ref="I10:P10"/>
    <mergeCell ref="Q10:V10"/>
    <mergeCell ref="W10:AA10"/>
    <mergeCell ref="AB10:AE10"/>
    <mergeCell ref="AG10:AM10"/>
  </mergeCells>
  <pageMargins left="0.7" right="0.7" top="0.75" bottom="0.75" header="0.3" footer="0.3"/>
  <pageSetup orientation="portrait" r:id="rId1"/>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9"/>
  <dimension ref="A5:X212"/>
  <sheetViews>
    <sheetView zoomScaleNormal="100" workbookViewId="0">
      <pane xSplit="2" ySplit="12" topLeftCell="C13" activePane="bottomRight" state="frozen"/>
      <selection activeCell="B55" sqref="B2:M60"/>
      <selection pane="topRight" activeCell="B55" sqref="B2:M60"/>
      <selection pane="bottomLeft" activeCell="B55" sqref="B2:M60"/>
      <selection pane="bottomRight" activeCell="I24" sqref="I24"/>
    </sheetView>
  </sheetViews>
  <sheetFormatPr baseColWidth="10" defaultColWidth="9.109375" defaultRowHeight="13.2" x14ac:dyDescent="0.25"/>
  <cols>
    <col min="1" max="1" width="3.44140625" style="85" customWidth="1"/>
    <col min="2" max="2" width="5.33203125" style="85" customWidth="1"/>
    <col min="3" max="6" width="9.33203125" style="92" customWidth="1"/>
    <col min="7" max="7" width="9.33203125" style="93" customWidth="1"/>
    <col min="8" max="16" width="9.33203125" style="92" customWidth="1"/>
    <col min="17" max="17" width="9.109375" style="85"/>
    <col min="18" max="18" width="10.33203125" style="85" customWidth="1"/>
    <col min="19" max="19" width="9.109375" style="94"/>
    <col min="20" max="22" width="9.109375" style="85"/>
    <col min="23" max="23" width="9.109375" style="85" customWidth="1"/>
    <col min="24" max="257" width="9.109375" style="85"/>
    <col min="258" max="258" width="3.44140625" style="85" customWidth="1"/>
    <col min="259" max="259" width="5.33203125" style="85" customWidth="1"/>
    <col min="260" max="273" width="9.33203125" style="85" customWidth="1"/>
    <col min="274" max="513" width="9.109375" style="85"/>
    <col min="514" max="514" width="3.44140625" style="85" customWidth="1"/>
    <col min="515" max="515" width="5.33203125" style="85" customWidth="1"/>
    <col min="516" max="529" width="9.33203125" style="85" customWidth="1"/>
    <col min="530" max="769" width="9.109375" style="85"/>
    <col min="770" max="770" width="3.44140625" style="85" customWidth="1"/>
    <col min="771" max="771" width="5.33203125" style="85" customWidth="1"/>
    <col min="772" max="785" width="9.33203125" style="85" customWidth="1"/>
    <col min="786" max="1025" width="9.109375" style="85"/>
    <col min="1026" max="1026" width="3.44140625" style="85" customWidth="1"/>
    <col min="1027" max="1027" width="5.33203125" style="85" customWidth="1"/>
    <col min="1028" max="1041" width="9.33203125" style="85" customWidth="1"/>
    <col min="1042" max="1281" width="9.109375" style="85"/>
    <col min="1282" max="1282" width="3.44140625" style="85" customWidth="1"/>
    <col min="1283" max="1283" width="5.33203125" style="85" customWidth="1"/>
    <col min="1284" max="1297" width="9.33203125" style="85" customWidth="1"/>
    <col min="1298" max="1537" width="9.109375" style="85"/>
    <col min="1538" max="1538" width="3.44140625" style="85" customWidth="1"/>
    <col min="1539" max="1539" width="5.33203125" style="85" customWidth="1"/>
    <col min="1540" max="1553" width="9.33203125" style="85" customWidth="1"/>
    <col min="1554" max="1793" width="9.109375" style="85"/>
    <col min="1794" max="1794" width="3.44140625" style="85" customWidth="1"/>
    <col min="1795" max="1795" width="5.33203125" style="85" customWidth="1"/>
    <col min="1796" max="1809" width="9.33203125" style="85" customWidth="1"/>
    <col min="1810" max="2049" width="9.109375" style="85"/>
    <col min="2050" max="2050" width="3.44140625" style="85" customWidth="1"/>
    <col min="2051" max="2051" width="5.33203125" style="85" customWidth="1"/>
    <col min="2052" max="2065" width="9.33203125" style="85" customWidth="1"/>
    <col min="2066" max="2305" width="9.109375" style="85"/>
    <col min="2306" max="2306" width="3.44140625" style="85" customWidth="1"/>
    <col min="2307" max="2307" width="5.33203125" style="85" customWidth="1"/>
    <col min="2308" max="2321" width="9.33203125" style="85" customWidth="1"/>
    <col min="2322" max="2561" width="9.109375" style="85"/>
    <col min="2562" max="2562" width="3.44140625" style="85" customWidth="1"/>
    <col min="2563" max="2563" width="5.33203125" style="85" customWidth="1"/>
    <col min="2564" max="2577" width="9.33203125" style="85" customWidth="1"/>
    <col min="2578" max="2817" width="9.109375" style="85"/>
    <col min="2818" max="2818" width="3.44140625" style="85" customWidth="1"/>
    <col min="2819" max="2819" width="5.33203125" style="85" customWidth="1"/>
    <col min="2820" max="2833" width="9.33203125" style="85" customWidth="1"/>
    <col min="2834" max="3073" width="9.109375" style="85"/>
    <col min="3074" max="3074" width="3.44140625" style="85" customWidth="1"/>
    <col min="3075" max="3075" width="5.33203125" style="85" customWidth="1"/>
    <col min="3076" max="3089" width="9.33203125" style="85" customWidth="1"/>
    <col min="3090" max="3329" width="9.109375" style="85"/>
    <col min="3330" max="3330" width="3.44140625" style="85" customWidth="1"/>
    <col min="3331" max="3331" width="5.33203125" style="85" customWidth="1"/>
    <col min="3332" max="3345" width="9.33203125" style="85" customWidth="1"/>
    <col min="3346" max="3585" width="9.109375" style="85"/>
    <col min="3586" max="3586" width="3.44140625" style="85" customWidth="1"/>
    <col min="3587" max="3587" width="5.33203125" style="85" customWidth="1"/>
    <col min="3588" max="3601" width="9.33203125" style="85" customWidth="1"/>
    <col min="3602" max="3841" width="9.109375" style="85"/>
    <col min="3842" max="3842" width="3.44140625" style="85" customWidth="1"/>
    <col min="3843" max="3843" width="5.33203125" style="85" customWidth="1"/>
    <col min="3844" max="3857" width="9.33203125" style="85" customWidth="1"/>
    <col min="3858" max="4097" width="9.109375" style="85"/>
    <col min="4098" max="4098" width="3.44140625" style="85" customWidth="1"/>
    <col min="4099" max="4099" width="5.33203125" style="85" customWidth="1"/>
    <col min="4100" max="4113" width="9.33203125" style="85" customWidth="1"/>
    <col min="4114" max="4353" width="9.109375" style="85"/>
    <col min="4354" max="4354" width="3.44140625" style="85" customWidth="1"/>
    <col min="4355" max="4355" width="5.33203125" style="85" customWidth="1"/>
    <col min="4356" max="4369" width="9.33203125" style="85" customWidth="1"/>
    <col min="4370" max="4609" width="9.109375" style="85"/>
    <col min="4610" max="4610" width="3.44140625" style="85" customWidth="1"/>
    <col min="4611" max="4611" width="5.33203125" style="85" customWidth="1"/>
    <col min="4612" max="4625" width="9.33203125" style="85" customWidth="1"/>
    <col min="4626" max="4865" width="9.109375" style="85"/>
    <col min="4866" max="4866" width="3.44140625" style="85" customWidth="1"/>
    <col min="4867" max="4867" width="5.33203125" style="85" customWidth="1"/>
    <col min="4868" max="4881" width="9.33203125" style="85" customWidth="1"/>
    <col min="4882" max="5121" width="9.109375" style="85"/>
    <col min="5122" max="5122" width="3.44140625" style="85" customWidth="1"/>
    <col min="5123" max="5123" width="5.33203125" style="85" customWidth="1"/>
    <col min="5124" max="5137" width="9.33203125" style="85" customWidth="1"/>
    <col min="5138" max="5377" width="9.109375" style="85"/>
    <col min="5378" max="5378" width="3.44140625" style="85" customWidth="1"/>
    <col min="5379" max="5379" width="5.33203125" style="85" customWidth="1"/>
    <col min="5380" max="5393" width="9.33203125" style="85" customWidth="1"/>
    <col min="5394" max="5633" width="9.109375" style="85"/>
    <col min="5634" max="5634" width="3.44140625" style="85" customWidth="1"/>
    <col min="5635" max="5635" width="5.33203125" style="85" customWidth="1"/>
    <col min="5636" max="5649" width="9.33203125" style="85" customWidth="1"/>
    <col min="5650" max="5889" width="9.109375" style="85"/>
    <col min="5890" max="5890" width="3.44140625" style="85" customWidth="1"/>
    <col min="5891" max="5891" width="5.33203125" style="85" customWidth="1"/>
    <col min="5892" max="5905" width="9.33203125" style="85" customWidth="1"/>
    <col min="5906" max="6145" width="9.109375" style="85"/>
    <col min="6146" max="6146" width="3.44140625" style="85" customWidth="1"/>
    <col min="6147" max="6147" width="5.33203125" style="85" customWidth="1"/>
    <col min="6148" max="6161" width="9.33203125" style="85" customWidth="1"/>
    <col min="6162" max="6401" width="9.109375" style="85"/>
    <col min="6402" max="6402" width="3.44140625" style="85" customWidth="1"/>
    <col min="6403" max="6403" width="5.33203125" style="85" customWidth="1"/>
    <col min="6404" max="6417" width="9.33203125" style="85" customWidth="1"/>
    <col min="6418" max="6657" width="9.109375" style="85"/>
    <col min="6658" max="6658" width="3.44140625" style="85" customWidth="1"/>
    <col min="6659" max="6659" width="5.33203125" style="85" customWidth="1"/>
    <col min="6660" max="6673" width="9.33203125" style="85" customWidth="1"/>
    <col min="6674" max="6913" width="9.109375" style="85"/>
    <col min="6914" max="6914" width="3.44140625" style="85" customWidth="1"/>
    <col min="6915" max="6915" width="5.33203125" style="85" customWidth="1"/>
    <col min="6916" max="6929" width="9.33203125" style="85" customWidth="1"/>
    <col min="6930" max="7169" width="9.109375" style="85"/>
    <col min="7170" max="7170" width="3.44140625" style="85" customWidth="1"/>
    <col min="7171" max="7171" width="5.33203125" style="85" customWidth="1"/>
    <col min="7172" max="7185" width="9.33203125" style="85" customWidth="1"/>
    <col min="7186" max="7425" width="9.109375" style="85"/>
    <col min="7426" max="7426" width="3.44140625" style="85" customWidth="1"/>
    <col min="7427" max="7427" width="5.33203125" style="85" customWidth="1"/>
    <col min="7428" max="7441" width="9.33203125" style="85" customWidth="1"/>
    <col min="7442" max="7681" width="9.109375" style="85"/>
    <col min="7682" max="7682" width="3.44140625" style="85" customWidth="1"/>
    <col min="7683" max="7683" width="5.33203125" style="85" customWidth="1"/>
    <col min="7684" max="7697" width="9.33203125" style="85" customWidth="1"/>
    <col min="7698" max="7937" width="9.109375" style="85"/>
    <col min="7938" max="7938" width="3.44140625" style="85" customWidth="1"/>
    <col min="7939" max="7939" width="5.33203125" style="85" customWidth="1"/>
    <col min="7940" max="7953" width="9.33203125" style="85" customWidth="1"/>
    <col min="7954" max="8193" width="9.109375" style="85"/>
    <col min="8194" max="8194" width="3.44140625" style="85" customWidth="1"/>
    <col min="8195" max="8195" width="5.33203125" style="85" customWidth="1"/>
    <col min="8196" max="8209" width="9.33203125" style="85" customWidth="1"/>
    <col min="8210" max="8449" width="9.109375" style="85"/>
    <col min="8450" max="8450" width="3.44140625" style="85" customWidth="1"/>
    <col min="8451" max="8451" width="5.33203125" style="85" customWidth="1"/>
    <col min="8452" max="8465" width="9.33203125" style="85" customWidth="1"/>
    <col min="8466" max="8705" width="9.109375" style="85"/>
    <col min="8706" max="8706" width="3.44140625" style="85" customWidth="1"/>
    <col min="8707" max="8707" width="5.33203125" style="85" customWidth="1"/>
    <col min="8708" max="8721" width="9.33203125" style="85" customWidth="1"/>
    <col min="8722" max="8961" width="9.109375" style="85"/>
    <col min="8962" max="8962" width="3.44140625" style="85" customWidth="1"/>
    <col min="8963" max="8963" width="5.33203125" style="85" customWidth="1"/>
    <col min="8964" max="8977" width="9.33203125" style="85" customWidth="1"/>
    <col min="8978" max="9217" width="9.109375" style="85"/>
    <col min="9218" max="9218" width="3.44140625" style="85" customWidth="1"/>
    <col min="9219" max="9219" width="5.33203125" style="85" customWidth="1"/>
    <col min="9220" max="9233" width="9.33203125" style="85" customWidth="1"/>
    <col min="9234" max="9473" width="9.109375" style="85"/>
    <col min="9474" max="9474" width="3.44140625" style="85" customWidth="1"/>
    <col min="9475" max="9475" width="5.33203125" style="85" customWidth="1"/>
    <col min="9476" max="9489" width="9.33203125" style="85" customWidth="1"/>
    <col min="9490" max="9729" width="9.109375" style="85"/>
    <col min="9730" max="9730" width="3.44140625" style="85" customWidth="1"/>
    <col min="9731" max="9731" width="5.33203125" style="85" customWidth="1"/>
    <col min="9732" max="9745" width="9.33203125" style="85" customWidth="1"/>
    <col min="9746" max="9985" width="9.109375" style="85"/>
    <col min="9986" max="9986" width="3.44140625" style="85" customWidth="1"/>
    <col min="9987" max="9987" width="5.33203125" style="85" customWidth="1"/>
    <col min="9988" max="10001" width="9.33203125" style="85" customWidth="1"/>
    <col min="10002" max="10241" width="9.109375" style="85"/>
    <col min="10242" max="10242" width="3.44140625" style="85" customWidth="1"/>
    <col min="10243" max="10243" width="5.33203125" style="85" customWidth="1"/>
    <col min="10244" max="10257" width="9.33203125" style="85" customWidth="1"/>
    <col min="10258" max="10497" width="9.109375" style="85"/>
    <col min="10498" max="10498" width="3.44140625" style="85" customWidth="1"/>
    <col min="10499" max="10499" width="5.33203125" style="85" customWidth="1"/>
    <col min="10500" max="10513" width="9.33203125" style="85" customWidth="1"/>
    <col min="10514" max="10753" width="9.109375" style="85"/>
    <col min="10754" max="10754" width="3.44140625" style="85" customWidth="1"/>
    <col min="10755" max="10755" width="5.33203125" style="85" customWidth="1"/>
    <col min="10756" max="10769" width="9.33203125" style="85" customWidth="1"/>
    <col min="10770" max="11009" width="9.109375" style="85"/>
    <col min="11010" max="11010" width="3.44140625" style="85" customWidth="1"/>
    <col min="11011" max="11011" width="5.33203125" style="85" customWidth="1"/>
    <col min="11012" max="11025" width="9.33203125" style="85" customWidth="1"/>
    <col min="11026" max="11265" width="9.109375" style="85"/>
    <col min="11266" max="11266" width="3.44140625" style="85" customWidth="1"/>
    <col min="11267" max="11267" width="5.33203125" style="85" customWidth="1"/>
    <col min="11268" max="11281" width="9.33203125" style="85" customWidth="1"/>
    <col min="11282" max="11521" width="9.109375" style="85"/>
    <col min="11522" max="11522" width="3.44140625" style="85" customWidth="1"/>
    <col min="11523" max="11523" width="5.33203125" style="85" customWidth="1"/>
    <col min="11524" max="11537" width="9.33203125" style="85" customWidth="1"/>
    <col min="11538" max="11777" width="9.109375" style="85"/>
    <col min="11778" max="11778" width="3.44140625" style="85" customWidth="1"/>
    <col min="11779" max="11779" width="5.33203125" style="85" customWidth="1"/>
    <col min="11780" max="11793" width="9.33203125" style="85" customWidth="1"/>
    <col min="11794" max="12033" width="9.109375" style="85"/>
    <col min="12034" max="12034" width="3.44140625" style="85" customWidth="1"/>
    <col min="12035" max="12035" width="5.33203125" style="85" customWidth="1"/>
    <col min="12036" max="12049" width="9.33203125" style="85" customWidth="1"/>
    <col min="12050" max="12289" width="9.109375" style="85"/>
    <col min="12290" max="12290" width="3.44140625" style="85" customWidth="1"/>
    <col min="12291" max="12291" width="5.33203125" style="85" customWidth="1"/>
    <col min="12292" max="12305" width="9.33203125" style="85" customWidth="1"/>
    <col min="12306" max="12545" width="9.109375" style="85"/>
    <col min="12546" max="12546" width="3.44140625" style="85" customWidth="1"/>
    <col min="12547" max="12547" width="5.33203125" style="85" customWidth="1"/>
    <col min="12548" max="12561" width="9.33203125" style="85" customWidth="1"/>
    <col min="12562" max="12801" width="9.109375" style="85"/>
    <col min="12802" max="12802" width="3.44140625" style="85" customWidth="1"/>
    <col min="12803" max="12803" width="5.33203125" style="85" customWidth="1"/>
    <col min="12804" max="12817" width="9.33203125" style="85" customWidth="1"/>
    <col min="12818" max="13057" width="9.109375" style="85"/>
    <col min="13058" max="13058" width="3.44140625" style="85" customWidth="1"/>
    <col min="13059" max="13059" width="5.33203125" style="85" customWidth="1"/>
    <col min="13060" max="13073" width="9.33203125" style="85" customWidth="1"/>
    <col min="13074" max="13313" width="9.109375" style="85"/>
    <col min="13314" max="13314" width="3.44140625" style="85" customWidth="1"/>
    <col min="13315" max="13315" width="5.33203125" style="85" customWidth="1"/>
    <col min="13316" max="13329" width="9.33203125" style="85" customWidth="1"/>
    <col min="13330" max="13569" width="9.109375" style="85"/>
    <col min="13570" max="13570" width="3.44140625" style="85" customWidth="1"/>
    <col min="13571" max="13571" width="5.33203125" style="85" customWidth="1"/>
    <col min="13572" max="13585" width="9.33203125" style="85" customWidth="1"/>
    <col min="13586" max="13825" width="9.109375" style="85"/>
    <col min="13826" max="13826" width="3.44140625" style="85" customWidth="1"/>
    <col min="13827" max="13827" width="5.33203125" style="85" customWidth="1"/>
    <col min="13828" max="13841" width="9.33203125" style="85" customWidth="1"/>
    <col min="13842" max="14081" width="9.109375" style="85"/>
    <col min="14082" max="14082" width="3.44140625" style="85" customWidth="1"/>
    <col min="14083" max="14083" width="5.33203125" style="85" customWidth="1"/>
    <col min="14084" max="14097" width="9.33203125" style="85" customWidth="1"/>
    <col min="14098" max="14337" width="9.109375" style="85"/>
    <col min="14338" max="14338" width="3.44140625" style="85" customWidth="1"/>
    <col min="14339" max="14339" width="5.33203125" style="85" customWidth="1"/>
    <col min="14340" max="14353" width="9.33203125" style="85" customWidth="1"/>
    <col min="14354" max="14593" width="9.109375" style="85"/>
    <col min="14594" max="14594" width="3.44140625" style="85" customWidth="1"/>
    <col min="14595" max="14595" width="5.33203125" style="85" customWidth="1"/>
    <col min="14596" max="14609" width="9.33203125" style="85" customWidth="1"/>
    <col min="14610" max="14849" width="9.109375" style="85"/>
    <col min="14850" max="14850" width="3.44140625" style="85" customWidth="1"/>
    <col min="14851" max="14851" width="5.33203125" style="85" customWidth="1"/>
    <col min="14852" max="14865" width="9.33203125" style="85" customWidth="1"/>
    <col min="14866" max="15105" width="9.109375" style="85"/>
    <col min="15106" max="15106" width="3.44140625" style="85" customWidth="1"/>
    <col min="15107" max="15107" width="5.33203125" style="85" customWidth="1"/>
    <col min="15108" max="15121" width="9.33203125" style="85" customWidth="1"/>
    <col min="15122" max="15361" width="9.109375" style="85"/>
    <col min="15362" max="15362" width="3.44140625" style="85" customWidth="1"/>
    <col min="15363" max="15363" width="5.33203125" style="85" customWidth="1"/>
    <col min="15364" max="15377" width="9.33203125" style="85" customWidth="1"/>
    <col min="15378" max="15617" width="9.109375" style="85"/>
    <col min="15618" max="15618" width="3.44140625" style="85" customWidth="1"/>
    <col min="15619" max="15619" width="5.33203125" style="85" customWidth="1"/>
    <col min="15620" max="15633" width="9.33203125" style="85" customWidth="1"/>
    <col min="15634" max="15873" width="9.109375" style="85"/>
    <col min="15874" max="15874" width="3.44140625" style="85" customWidth="1"/>
    <col min="15875" max="15875" width="5.33203125" style="85" customWidth="1"/>
    <col min="15876" max="15889" width="9.33203125" style="85" customWidth="1"/>
    <col min="15890" max="16129" width="9.109375" style="85"/>
    <col min="16130" max="16130" width="3.44140625" style="85" customWidth="1"/>
    <col min="16131" max="16131" width="5.33203125" style="85" customWidth="1"/>
    <col min="16132" max="16145" width="9.33203125" style="85" customWidth="1"/>
    <col min="16146" max="16384" width="9.109375" style="85"/>
  </cols>
  <sheetData>
    <row r="5" spans="1:24" x14ac:dyDescent="0.25">
      <c r="Q5" s="85">
        <v>2</v>
      </c>
      <c r="R5" s="85">
        <f>CHIINV(F$12,$Q5)</f>
        <v>0.10258658877510116</v>
      </c>
    </row>
    <row r="8" spans="1:24" s="77" customFormat="1" ht="27" customHeight="1" thickBot="1" x14ac:dyDescent="0.35">
      <c r="A8" s="75"/>
      <c r="B8" s="76"/>
      <c r="C8" s="416" t="s">
        <v>390</v>
      </c>
      <c r="D8" s="416"/>
      <c r="E8" s="416"/>
      <c r="F8" s="416"/>
      <c r="G8" s="416"/>
      <c r="H8" s="416"/>
      <c r="I8" s="416"/>
      <c r="J8" s="416"/>
      <c r="K8" s="416"/>
      <c r="L8" s="416"/>
      <c r="M8" s="416"/>
      <c r="N8" s="416"/>
      <c r="O8" s="416"/>
      <c r="P8" s="416"/>
      <c r="S8" s="78"/>
    </row>
    <row r="9" spans="1:24" s="77" customFormat="1" ht="27" customHeight="1" x14ac:dyDescent="0.3">
      <c r="A9" s="75"/>
      <c r="B9" s="417"/>
      <c r="C9" s="418"/>
      <c r="D9" s="418"/>
      <c r="E9" s="418"/>
      <c r="F9" s="418"/>
      <c r="G9" s="418"/>
      <c r="H9" s="418"/>
      <c r="I9" s="418"/>
      <c r="J9" s="418"/>
      <c r="K9" s="418"/>
      <c r="L9" s="418"/>
      <c r="M9" s="418"/>
      <c r="N9" s="418"/>
      <c r="O9" s="418"/>
      <c r="P9" s="419"/>
      <c r="S9" s="78"/>
    </row>
    <row r="10" spans="1:24" s="77" customFormat="1" ht="27" customHeight="1" x14ac:dyDescent="0.3">
      <c r="A10" s="75"/>
      <c r="B10" s="420"/>
      <c r="C10" s="421"/>
      <c r="D10" s="421"/>
      <c r="E10" s="421"/>
      <c r="F10" s="421"/>
      <c r="G10" s="421"/>
      <c r="H10" s="421"/>
      <c r="I10" s="421"/>
      <c r="J10" s="421"/>
      <c r="K10" s="421"/>
      <c r="L10" s="421"/>
      <c r="M10" s="421"/>
      <c r="N10" s="421"/>
      <c r="O10" s="421"/>
      <c r="P10" s="422"/>
      <c r="S10" s="78"/>
    </row>
    <row r="11" spans="1:24" s="77" customFormat="1" ht="27" customHeight="1" thickBot="1" x14ac:dyDescent="0.35">
      <c r="A11" s="75"/>
      <c r="B11" s="423"/>
      <c r="C11" s="424"/>
      <c r="D11" s="424"/>
      <c r="E11" s="424"/>
      <c r="F11" s="424"/>
      <c r="G11" s="424"/>
      <c r="H11" s="424"/>
      <c r="I11" s="424"/>
      <c r="J11" s="424"/>
      <c r="K11" s="424"/>
      <c r="L11" s="424"/>
      <c r="M11" s="424"/>
      <c r="N11" s="424"/>
      <c r="O11" s="424"/>
      <c r="P11" s="425"/>
      <c r="R11" s="426" t="s">
        <v>391</v>
      </c>
      <c r="S11" s="426"/>
      <c r="T11" s="426"/>
      <c r="U11" s="426"/>
      <c r="V11" s="426"/>
    </row>
    <row r="12" spans="1:24" s="79" customFormat="1" ht="24.9" customHeight="1" x14ac:dyDescent="0.3">
      <c r="B12" s="80" t="s">
        <v>392</v>
      </c>
      <c r="C12" s="81">
        <v>0.995</v>
      </c>
      <c r="D12" s="81">
        <v>0.99</v>
      </c>
      <c r="E12" s="81">
        <v>0.97499999999999998</v>
      </c>
      <c r="F12" s="82">
        <v>0.95</v>
      </c>
      <c r="G12" s="83">
        <v>0.9</v>
      </c>
      <c r="H12" s="81">
        <v>0.75</v>
      </c>
      <c r="I12" s="82">
        <v>0.5</v>
      </c>
      <c r="J12" s="81">
        <v>0.25</v>
      </c>
      <c r="K12" s="81">
        <v>0.1</v>
      </c>
      <c r="L12" s="82">
        <v>0.05</v>
      </c>
      <c r="M12" s="81">
        <v>2.5000000000000001E-2</v>
      </c>
      <c r="N12" s="81">
        <v>0.01</v>
      </c>
      <c r="O12" s="81">
        <v>5.0000000000000001E-3</v>
      </c>
      <c r="P12" s="81">
        <v>1E-3</v>
      </c>
      <c r="R12" s="84" t="s">
        <v>393</v>
      </c>
      <c r="S12" s="84" t="s">
        <v>350</v>
      </c>
      <c r="T12" s="84">
        <v>0.95</v>
      </c>
      <c r="U12" s="84">
        <v>0.5</v>
      </c>
      <c r="V12" s="84">
        <v>0.05</v>
      </c>
      <c r="X12" s="84" t="s">
        <v>394</v>
      </c>
    </row>
    <row r="13" spans="1:24" ht="12.9" customHeight="1" x14ac:dyDescent="0.25">
      <c r="B13" s="86">
        <v>1</v>
      </c>
      <c r="C13" s="87">
        <f>CHIINV(C$12,$B13)</f>
        <v>3.9270422220515978E-5</v>
      </c>
      <c r="D13" s="87">
        <f>CHIINV(D$12,$B13)</f>
        <v>1.5708785790970227E-4</v>
      </c>
      <c r="E13" s="87">
        <f>CHIINV(E$12,$B13)</f>
        <v>9.8206911717525812E-4</v>
      </c>
      <c r="F13" s="88">
        <f>CHIINV(F$12,$B13)</f>
        <v>3.9321400000195293E-3</v>
      </c>
      <c r="G13" s="89">
        <f>CHIINV(G$12,$B13)</f>
        <v>1.5790774093431218E-2</v>
      </c>
      <c r="H13" s="89">
        <f t="shared" ref="H13:P28" si="0">CHIINV(H$12,$B13)</f>
        <v>0.10153104426762154</v>
      </c>
      <c r="I13" s="90">
        <f t="shared" si="0"/>
        <v>0.45493642311957289</v>
      </c>
      <c r="J13" s="89">
        <f t="shared" si="0"/>
        <v>1.3233036969314662</v>
      </c>
      <c r="K13" s="89">
        <f t="shared" si="0"/>
        <v>2.7055434540954142</v>
      </c>
      <c r="L13" s="90">
        <f t="shared" si="0"/>
        <v>3.8414588206941236</v>
      </c>
      <c r="M13" s="89">
        <f t="shared" si="0"/>
        <v>5.0238861873148863</v>
      </c>
      <c r="N13" s="89">
        <f t="shared" si="0"/>
        <v>6.6348966010212118</v>
      </c>
      <c r="O13" s="89">
        <f t="shared" si="0"/>
        <v>7.8794385766224124</v>
      </c>
      <c r="P13" s="89">
        <f t="shared" si="0"/>
        <v>10.827566170662733</v>
      </c>
      <c r="R13" s="89">
        <f>F13/I13</f>
        <v>8.643273653615613E-3</v>
      </c>
      <c r="S13" s="91">
        <v>1</v>
      </c>
      <c r="T13" s="89">
        <f>F13</f>
        <v>3.9321400000195293E-3</v>
      </c>
      <c r="U13" s="89">
        <f>I13</f>
        <v>0.45493642311957289</v>
      </c>
      <c r="V13" s="89">
        <f>L13</f>
        <v>3.8414588206941236</v>
      </c>
      <c r="X13" s="86">
        <f>B13*I13</f>
        <v>0.45493642311957289</v>
      </c>
    </row>
    <row r="14" spans="1:24" ht="12.9" customHeight="1" x14ac:dyDescent="0.25">
      <c r="B14" s="86">
        <v>2</v>
      </c>
      <c r="C14" s="89">
        <f>CHIINV(C$12,$B14)</f>
        <v>1.0025083647088573E-2</v>
      </c>
      <c r="D14" s="89">
        <f t="shared" ref="D14:P29" si="1">CHIINV(D$12,$B14)</f>
        <v>2.0100671707002901E-2</v>
      </c>
      <c r="E14" s="89">
        <f t="shared" si="1"/>
        <v>5.0635615968579795E-2</v>
      </c>
      <c r="F14" s="90">
        <f t="shared" si="1"/>
        <v>0.10258658877510116</v>
      </c>
      <c r="G14" s="89">
        <f t="shared" si="1"/>
        <v>0.21072103131565256</v>
      </c>
      <c r="H14" s="89">
        <f t="shared" si="0"/>
        <v>0.5753641449035618</v>
      </c>
      <c r="I14" s="90">
        <f t="shared" si="0"/>
        <v>1.3862943611198906</v>
      </c>
      <c r="J14" s="89">
        <f t="shared" si="0"/>
        <v>2.7725887222397811</v>
      </c>
      <c r="K14" s="89">
        <f t="shared" si="0"/>
        <v>4.6051701859880909</v>
      </c>
      <c r="L14" s="90">
        <f t="shared" si="0"/>
        <v>5.9914645471079817</v>
      </c>
      <c r="M14" s="89">
        <f t="shared" si="0"/>
        <v>7.3777589082278725</v>
      </c>
      <c r="N14" s="89">
        <f t="shared" si="0"/>
        <v>9.2103403719761818</v>
      </c>
      <c r="O14" s="89">
        <f t="shared" si="0"/>
        <v>10.596634733096073</v>
      </c>
      <c r="P14" s="89">
        <f t="shared" si="0"/>
        <v>13.815510557964274</v>
      </c>
      <c r="Q14" s="92"/>
      <c r="R14" s="89">
        <f t="shared" ref="R14:R77" si="2">F14/I14</f>
        <v>7.4000581443776928E-2</v>
      </c>
      <c r="S14" s="91">
        <v>2</v>
      </c>
      <c r="T14" s="89">
        <f t="shared" ref="T14:T77" si="3">F14</f>
        <v>0.10258658877510116</v>
      </c>
      <c r="U14" s="89">
        <f t="shared" ref="U14:U77" si="4">I14</f>
        <v>1.3862943611198906</v>
      </c>
      <c r="V14" s="89">
        <f t="shared" ref="V14:V77" si="5">L14</f>
        <v>5.9914645471079817</v>
      </c>
      <c r="X14" s="86">
        <f t="shared" ref="X14:X77" si="6">B14*I14</f>
        <v>2.7725887222397811</v>
      </c>
    </row>
    <row r="15" spans="1:24" ht="12.9" customHeight="1" x14ac:dyDescent="0.25">
      <c r="B15" s="86">
        <v>3</v>
      </c>
      <c r="C15" s="89">
        <f t="shared" ref="C15:P47" si="7">CHIINV(C$12,$B15)</f>
        <v>7.1721774586491635E-2</v>
      </c>
      <c r="D15" s="89">
        <f t="shared" si="1"/>
        <v>0.11483180189911682</v>
      </c>
      <c r="E15" s="89">
        <f t="shared" si="1"/>
        <v>0.2157952826238981</v>
      </c>
      <c r="F15" s="90">
        <f t="shared" si="1"/>
        <v>0.35184631774927172</v>
      </c>
      <c r="G15" s="89">
        <f t="shared" si="1"/>
        <v>0.58437437415518312</v>
      </c>
      <c r="H15" s="89">
        <f t="shared" si="0"/>
        <v>1.2125329030456691</v>
      </c>
      <c r="I15" s="90">
        <f t="shared" si="0"/>
        <v>2.3659738843753373</v>
      </c>
      <c r="J15" s="89">
        <f t="shared" si="0"/>
        <v>4.1083449356323172</v>
      </c>
      <c r="K15" s="89">
        <f t="shared" si="0"/>
        <v>6.2513886311703235</v>
      </c>
      <c r="L15" s="90">
        <f t="shared" si="0"/>
        <v>7.8147279032511792</v>
      </c>
      <c r="M15" s="89">
        <f t="shared" si="0"/>
        <v>9.3484036044961485</v>
      </c>
      <c r="N15" s="89">
        <f t="shared" si="0"/>
        <v>11.344866730144371</v>
      </c>
      <c r="O15" s="89">
        <f t="shared" si="0"/>
        <v>12.838156466598651</v>
      </c>
      <c r="P15" s="89">
        <f t="shared" si="0"/>
        <v>16.266236196238129</v>
      </c>
      <c r="Q15" s="92"/>
      <c r="R15" s="89">
        <f t="shared" si="2"/>
        <v>0.14871098961524079</v>
      </c>
      <c r="S15" s="91">
        <v>3</v>
      </c>
      <c r="T15" s="89">
        <f t="shared" si="3"/>
        <v>0.35184631774927172</v>
      </c>
      <c r="U15" s="89">
        <f t="shared" si="4"/>
        <v>2.3659738843753373</v>
      </c>
      <c r="V15" s="89">
        <f t="shared" si="5"/>
        <v>7.8147279032511792</v>
      </c>
      <c r="X15" s="86">
        <f t="shared" si="6"/>
        <v>7.0979216531260114</v>
      </c>
    </row>
    <row r="16" spans="1:24" ht="12.9" customHeight="1" x14ac:dyDescent="0.25">
      <c r="B16" s="86">
        <v>4</v>
      </c>
      <c r="C16" s="89">
        <f>CHIINV(C$12,$B16)</f>
        <v>0.20698909349618236</v>
      </c>
      <c r="D16" s="89">
        <f t="shared" si="1"/>
        <v>0.29710948050653158</v>
      </c>
      <c r="E16" s="89">
        <f t="shared" si="1"/>
        <v>0.4844185570879303</v>
      </c>
      <c r="F16" s="90">
        <f t="shared" si="1"/>
        <v>0.71072302139732446</v>
      </c>
      <c r="G16" s="89">
        <f t="shared" si="1"/>
        <v>1.0636232167792243</v>
      </c>
      <c r="H16" s="89">
        <f t="shared" si="0"/>
        <v>1.9225575262295547</v>
      </c>
      <c r="I16" s="90">
        <f t="shared" si="0"/>
        <v>3.3566939800333211</v>
      </c>
      <c r="J16" s="89">
        <f t="shared" si="0"/>
        <v>5.385269057779392</v>
      </c>
      <c r="K16" s="89">
        <f t="shared" si="0"/>
        <v>7.7794403397348582</v>
      </c>
      <c r="L16" s="90">
        <f t="shared" si="0"/>
        <v>9.4877290367811575</v>
      </c>
      <c r="M16" s="89">
        <f t="shared" si="0"/>
        <v>11.143286781877798</v>
      </c>
      <c r="N16" s="89">
        <f t="shared" si="0"/>
        <v>13.276704135987623</v>
      </c>
      <c r="O16" s="89">
        <f t="shared" si="0"/>
        <v>14.860259000560244</v>
      </c>
      <c r="P16" s="89">
        <f t="shared" si="0"/>
        <v>18.466826952903173</v>
      </c>
      <c r="Q16" s="92"/>
      <c r="R16" s="89">
        <f t="shared" si="2"/>
        <v>0.21173304019518313</v>
      </c>
      <c r="S16" s="91">
        <v>4</v>
      </c>
      <c r="T16" s="89">
        <f t="shared" si="3"/>
        <v>0.71072302139732446</v>
      </c>
      <c r="U16" s="89">
        <f t="shared" si="4"/>
        <v>3.3566939800333211</v>
      </c>
      <c r="V16" s="89">
        <f t="shared" si="5"/>
        <v>9.4877290367811575</v>
      </c>
      <c r="X16" s="86">
        <f t="shared" si="6"/>
        <v>13.426775920133284</v>
      </c>
    </row>
    <row r="17" spans="2:24" ht="12.9" customHeight="1" x14ac:dyDescent="0.25">
      <c r="B17" s="86">
        <v>5</v>
      </c>
      <c r="C17" s="89">
        <f t="shared" si="7"/>
        <v>0.41174190383249976</v>
      </c>
      <c r="D17" s="89">
        <f t="shared" si="1"/>
        <v>0.55429807672827713</v>
      </c>
      <c r="E17" s="89">
        <f t="shared" si="1"/>
        <v>0.83121161348666384</v>
      </c>
      <c r="F17" s="90">
        <f t="shared" si="1"/>
        <v>1.1454762260617699</v>
      </c>
      <c r="G17" s="89">
        <f t="shared" si="1"/>
        <v>1.6103079869623229</v>
      </c>
      <c r="H17" s="89">
        <f t="shared" si="0"/>
        <v>2.6746028094321632</v>
      </c>
      <c r="I17" s="90">
        <f t="shared" si="0"/>
        <v>4.3514601910955237</v>
      </c>
      <c r="J17" s="89">
        <f t="shared" si="0"/>
        <v>6.6256797638292504</v>
      </c>
      <c r="K17" s="89">
        <f t="shared" si="0"/>
        <v>9.2363568997811178</v>
      </c>
      <c r="L17" s="90">
        <f t="shared" si="0"/>
        <v>11.070497693516353</v>
      </c>
      <c r="M17" s="89">
        <f t="shared" si="0"/>
        <v>12.832501994030029</v>
      </c>
      <c r="N17" s="89">
        <f t="shared" si="0"/>
        <v>15.086272469388991</v>
      </c>
      <c r="O17" s="89">
        <f t="shared" si="0"/>
        <v>16.749602343639044</v>
      </c>
      <c r="P17" s="89">
        <f t="shared" si="0"/>
        <v>20.51500565243288</v>
      </c>
      <c r="Q17" s="92"/>
      <c r="R17" s="89">
        <f t="shared" si="2"/>
        <v>0.26323950484616171</v>
      </c>
      <c r="S17" s="91">
        <v>5</v>
      </c>
      <c r="T17" s="89">
        <f t="shared" si="3"/>
        <v>1.1454762260617699</v>
      </c>
      <c r="U17" s="89">
        <f t="shared" si="4"/>
        <v>4.3514601910955237</v>
      </c>
      <c r="V17" s="89">
        <f t="shared" si="5"/>
        <v>11.070497693516353</v>
      </c>
      <c r="X17" s="86">
        <f t="shared" si="6"/>
        <v>21.757300955477618</v>
      </c>
    </row>
    <row r="18" spans="2:24" ht="12.9" customHeight="1" x14ac:dyDescent="0.25">
      <c r="B18" s="86">
        <v>6</v>
      </c>
      <c r="C18" s="89">
        <f t="shared" si="7"/>
        <v>0.67572677745546794</v>
      </c>
      <c r="D18" s="89">
        <f t="shared" si="1"/>
        <v>0.87209033015658521</v>
      </c>
      <c r="E18" s="89">
        <f t="shared" si="1"/>
        <v>1.2373442457912045</v>
      </c>
      <c r="F18" s="90">
        <f t="shared" si="1"/>
        <v>1.6353828943279067</v>
      </c>
      <c r="G18" s="89">
        <f t="shared" si="1"/>
        <v>2.2041306564986418</v>
      </c>
      <c r="H18" s="89">
        <f t="shared" si="0"/>
        <v>3.4545988357210389</v>
      </c>
      <c r="I18" s="90">
        <f t="shared" si="0"/>
        <v>5.3481206274471198</v>
      </c>
      <c r="J18" s="89">
        <f t="shared" si="0"/>
        <v>7.8408041205851209</v>
      </c>
      <c r="K18" s="89">
        <f t="shared" si="0"/>
        <v>10.64464067566842</v>
      </c>
      <c r="L18" s="90">
        <f t="shared" si="0"/>
        <v>12.591587243743978</v>
      </c>
      <c r="M18" s="89">
        <f t="shared" si="0"/>
        <v>14.449375335447922</v>
      </c>
      <c r="N18" s="89">
        <f t="shared" si="0"/>
        <v>16.811893829770931</v>
      </c>
      <c r="O18" s="89">
        <f t="shared" si="0"/>
        <v>18.547584178511091</v>
      </c>
      <c r="P18" s="89">
        <f t="shared" si="0"/>
        <v>22.457744484825326</v>
      </c>
      <c r="Q18" s="92"/>
      <c r="R18" s="89">
        <f t="shared" si="2"/>
        <v>0.30578646374110358</v>
      </c>
      <c r="S18" s="91">
        <v>6</v>
      </c>
      <c r="T18" s="89">
        <f t="shared" si="3"/>
        <v>1.6353828943279067</v>
      </c>
      <c r="U18" s="89">
        <f t="shared" si="4"/>
        <v>5.3481206274471198</v>
      </c>
      <c r="V18" s="89">
        <f t="shared" si="5"/>
        <v>12.591587243743978</v>
      </c>
      <c r="X18" s="86">
        <f t="shared" si="6"/>
        <v>32.088723764682719</v>
      </c>
    </row>
    <row r="19" spans="2:24" ht="12.9" customHeight="1" x14ac:dyDescent="0.25">
      <c r="B19" s="86">
        <v>7</v>
      </c>
      <c r="C19" s="89">
        <f t="shared" si="7"/>
        <v>0.98925568313295031</v>
      </c>
      <c r="D19" s="89">
        <f t="shared" si="1"/>
        <v>1.2390423055679303</v>
      </c>
      <c r="E19" s="89">
        <f t="shared" si="1"/>
        <v>1.6898691806773543</v>
      </c>
      <c r="F19" s="90">
        <f t="shared" si="1"/>
        <v>2.167349909298057</v>
      </c>
      <c r="G19" s="89">
        <f t="shared" si="1"/>
        <v>2.8331069178153436</v>
      </c>
      <c r="H19" s="89">
        <f t="shared" si="0"/>
        <v>4.2548521835465163</v>
      </c>
      <c r="I19" s="90">
        <f t="shared" si="0"/>
        <v>6.3458111955215175</v>
      </c>
      <c r="J19" s="89">
        <f t="shared" si="0"/>
        <v>9.0371475479081411</v>
      </c>
      <c r="K19" s="89">
        <f t="shared" si="0"/>
        <v>12.01703662378053</v>
      </c>
      <c r="L19" s="90">
        <f t="shared" si="0"/>
        <v>14.067140449340167</v>
      </c>
      <c r="M19" s="89">
        <f t="shared" si="0"/>
        <v>16.012764274629326</v>
      </c>
      <c r="N19" s="89">
        <f t="shared" si="0"/>
        <v>18.475306906582361</v>
      </c>
      <c r="O19" s="89">
        <f t="shared" si="0"/>
        <v>20.277739874962624</v>
      </c>
      <c r="P19" s="89">
        <f t="shared" si="0"/>
        <v>24.321886347856857</v>
      </c>
      <c r="Q19" s="92"/>
      <c r="R19" s="89">
        <f t="shared" si="2"/>
        <v>0.34154024481970707</v>
      </c>
      <c r="S19" s="91">
        <v>7</v>
      </c>
      <c r="T19" s="89">
        <f t="shared" si="3"/>
        <v>2.167349909298057</v>
      </c>
      <c r="U19" s="89">
        <f t="shared" si="4"/>
        <v>6.3458111955215175</v>
      </c>
      <c r="V19" s="89">
        <f t="shared" si="5"/>
        <v>14.067140449340167</v>
      </c>
      <c r="X19" s="86">
        <f t="shared" si="6"/>
        <v>44.42067836865062</v>
      </c>
    </row>
    <row r="20" spans="2:24" ht="12.9" customHeight="1" x14ac:dyDescent="0.25">
      <c r="B20" s="86">
        <v>8</v>
      </c>
      <c r="C20" s="89">
        <f t="shared" si="7"/>
        <v>1.3444130870148152</v>
      </c>
      <c r="D20" s="89">
        <f t="shared" si="1"/>
        <v>1.6464973726907688</v>
      </c>
      <c r="E20" s="89">
        <f t="shared" si="1"/>
        <v>2.1797307472526506</v>
      </c>
      <c r="F20" s="90">
        <f t="shared" si="1"/>
        <v>2.7326367934996632</v>
      </c>
      <c r="G20" s="89">
        <f t="shared" si="1"/>
        <v>3.4895391256498209</v>
      </c>
      <c r="H20" s="89">
        <f t="shared" si="0"/>
        <v>5.070640423800187</v>
      </c>
      <c r="I20" s="90">
        <f t="shared" si="0"/>
        <v>7.344121497701793</v>
      </c>
      <c r="J20" s="89">
        <f t="shared" si="0"/>
        <v>10.21885497024676</v>
      </c>
      <c r="K20" s="89">
        <f t="shared" si="0"/>
        <v>13.361566136511726</v>
      </c>
      <c r="L20" s="90">
        <f t="shared" si="0"/>
        <v>15.507313055865453</v>
      </c>
      <c r="M20" s="89">
        <f t="shared" si="0"/>
        <v>17.53454613948465</v>
      </c>
      <c r="N20" s="89">
        <f t="shared" si="0"/>
        <v>20.090235029663233</v>
      </c>
      <c r="O20" s="89">
        <f t="shared" si="0"/>
        <v>21.95495499065953</v>
      </c>
      <c r="P20" s="89">
        <f t="shared" si="0"/>
        <v>26.124481558376143</v>
      </c>
      <c r="Q20" s="92"/>
      <c r="R20" s="89">
        <f t="shared" si="2"/>
        <v>0.37208491095290175</v>
      </c>
      <c r="S20" s="91">
        <v>8</v>
      </c>
      <c r="T20" s="89">
        <f t="shared" si="3"/>
        <v>2.7326367934996632</v>
      </c>
      <c r="U20" s="89">
        <f t="shared" si="4"/>
        <v>7.344121497701793</v>
      </c>
      <c r="V20" s="89">
        <f t="shared" si="5"/>
        <v>15.507313055865453</v>
      </c>
      <c r="X20" s="86">
        <f t="shared" si="6"/>
        <v>58.752971981614344</v>
      </c>
    </row>
    <row r="21" spans="2:24" ht="12.9" customHeight="1" x14ac:dyDescent="0.25">
      <c r="B21" s="86">
        <v>9</v>
      </c>
      <c r="C21" s="89">
        <f t="shared" si="7"/>
        <v>1.7349329049966573</v>
      </c>
      <c r="D21" s="89">
        <f t="shared" si="1"/>
        <v>2.0879007358707233</v>
      </c>
      <c r="E21" s="89">
        <f t="shared" si="1"/>
        <v>2.7003894999803584</v>
      </c>
      <c r="F21" s="90">
        <f t="shared" si="1"/>
        <v>3.3251128430668162</v>
      </c>
      <c r="G21" s="89">
        <f t="shared" si="1"/>
        <v>4.168159008146108</v>
      </c>
      <c r="H21" s="89">
        <f t="shared" si="0"/>
        <v>5.898825882969974</v>
      </c>
      <c r="I21" s="90">
        <f t="shared" si="0"/>
        <v>8.342832692252955</v>
      </c>
      <c r="J21" s="89">
        <f t="shared" si="0"/>
        <v>11.38875144047037</v>
      </c>
      <c r="K21" s="89">
        <f t="shared" si="0"/>
        <v>14.683656573259835</v>
      </c>
      <c r="L21" s="90">
        <f t="shared" si="0"/>
        <v>16.918977604620451</v>
      </c>
      <c r="M21" s="89">
        <f t="shared" si="0"/>
        <v>19.022767798641635</v>
      </c>
      <c r="N21" s="89">
        <f t="shared" si="0"/>
        <v>21.665994333461931</v>
      </c>
      <c r="O21" s="89">
        <f t="shared" si="0"/>
        <v>23.589350781257387</v>
      </c>
      <c r="P21" s="89">
        <f t="shared" si="0"/>
        <v>27.877164871256575</v>
      </c>
      <c r="Q21" s="92"/>
      <c r="R21" s="89">
        <f t="shared" si="2"/>
        <v>0.39855921432470681</v>
      </c>
      <c r="S21" s="91">
        <v>9</v>
      </c>
      <c r="T21" s="89">
        <f t="shared" si="3"/>
        <v>3.3251128430668162</v>
      </c>
      <c r="U21" s="89">
        <f t="shared" si="4"/>
        <v>8.342832692252955</v>
      </c>
      <c r="V21" s="89">
        <f t="shared" si="5"/>
        <v>16.918977604620451</v>
      </c>
      <c r="X21" s="86">
        <f t="shared" si="6"/>
        <v>75.085494230276595</v>
      </c>
    </row>
    <row r="22" spans="2:24" ht="12.9" customHeight="1" x14ac:dyDescent="0.25">
      <c r="B22" s="86">
        <v>10</v>
      </c>
      <c r="C22" s="89">
        <f t="shared" si="7"/>
        <v>2.1558564813046455</v>
      </c>
      <c r="D22" s="89">
        <f t="shared" si="1"/>
        <v>2.5582121601872081</v>
      </c>
      <c r="E22" s="89">
        <f t="shared" si="1"/>
        <v>3.2469727802368396</v>
      </c>
      <c r="F22" s="90">
        <f t="shared" si="1"/>
        <v>3.9402991361190622</v>
      </c>
      <c r="G22" s="89">
        <f t="shared" si="1"/>
        <v>4.8651820519253288</v>
      </c>
      <c r="H22" s="89">
        <f t="shared" si="0"/>
        <v>6.7372007719546412</v>
      </c>
      <c r="I22" s="90">
        <f t="shared" si="0"/>
        <v>9.3418177655919656</v>
      </c>
      <c r="J22" s="89">
        <f t="shared" si="0"/>
        <v>12.548861396889377</v>
      </c>
      <c r="K22" s="89">
        <f t="shared" si="0"/>
        <v>15.987179172105261</v>
      </c>
      <c r="L22" s="90">
        <f t="shared" si="0"/>
        <v>18.307038053275146</v>
      </c>
      <c r="M22" s="89">
        <f t="shared" si="0"/>
        <v>20.483177350807395</v>
      </c>
      <c r="N22" s="89">
        <f t="shared" si="0"/>
        <v>23.209251158954359</v>
      </c>
      <c r="O22" s="89">
        <f t="shared" si="0"/>
        <v>25.188179571971173</v>
      </c>
      <c r="P22" s="89">
        <f t="shared" si="0"/>
        <v>29.588298445074418</v>
      </c>
      <c r="Q22" s="92"/>
      <c r="R22" s="89">
        <f t="shared" si="2"/>
        <v>0.42179147945189832</v>
      </c>
      <c r="S22" s="91">
        <v>10</v>
      </c>
      <c r="T22" s="89">
        <f t="shared" si="3"/>
        <v>3.9402991361190622</v>
      </c>
      <c r="U22" s="89">
        <f t="shared" si="4"/>
        <v>9.3418177655919656</v>
      </c>
      <c r="V22" s="89">
        <f t="shared" si="5"/>
        <v>18.307038053275146</v>
      </c>
      <c r="X22" s="86">
        <f t="shared" si="6"/>
        <v>93.418177655919663</v>
      </c>
    </row>
    <row r="23" spans="2:24" ht="12.9" customHeight="1" x14ac:dyDescent="0.25">
      <c r="B23" s="86">
        <v>11</v>
      </c>
      <c r="C23" s="89">
        <f t="shared" si="7"/>
        <v>2.6032218905151172</v>
      </c>
      <c r="D23" s="89">
        <f t="shared" si="1"/>
        <v>3.0534841066406813</v>
      </c>
      <c r="E23" s="89">
        <f t="shared" si="1"/>
        <v>3.8157482522361006</v>
      </c>
      <c r="F23" s="90">
        <f t="shared" si="1"/>
        <v>4.5748130793222259</v>
      </c>
      <c r="G23" s="89">
        <f t="shared" si="1"/>
        <v>5.5777847897998516</v>
      </c>
      <c r="H23" s="89">
        <f t="shared" si="0"/>
        <v>7.5841427854412871</v>
      </c>
      <c r="I23" s="90">
        <f t="shared" si="0"/>
        <v>10.340998074391823</v>
      </c>
      <c r="J23" s="89">
        <f t="shared" si="0"/>
        <v>13.70069274601151</v>
      </c>
      <c r="K23" s="89">
        <f t="shared" si="0"/>
        <v>17.275008517500069</v>
      </c>
      <c r="L23" s="90">
        <f t="shared" si="0"/>
        <v>19.675137572682498</v>
      </c>
      <c r="M23" s="89">
        <f t="shared" si="0"/>
        <v>21.920049261021205</v>
      </c>
      <c r="N23" s="89">
        <f t="shared" si="0"/>
        <v>24.724970311318284</v>
      </c>
      <c r="O23" s="89">
        <f t="shared" si="0"/>
        <v>26.756848916469632</v>
      </c>
      <c r="P23" s="89">
        <f t="shared" si="0"/>
        <v>31.264133620239996</v>
      </c>
      <c r="Q23" s="92"/>
      <c r="R23" s="89">
        <f t="shared" si="2"/>
        <v>0.44239569975853427</v>
      </c>
      <c r="S23" s="91">
        <v>11</v>
      </c>
      <c r="T23" s="89">
        <f t="shared" si="3"/>
        <v>4.5748130793222259</v>
      </c>
      <c r="U23" s="89">
        <f t="shared" si="4"/>
        <v>10.340998074391823</v>
      </c>
      <c r="V23" s="89">
        <f t="shared" si="5"/>
        <v>19.675137572682498</v>
      </c>
      <c r="X23" s="86">
        <f t="shared" si="6"/>
        <v>113.75097881831006</v>
      </c>
    </row>
    <row r="24" spans="2:24" ht="12.9" customHeight="1" x14ac:dyDescent="0.25">
      <c r="B24" s="86">
        <v>12</v>
      </c>
      <c r="C24" s="89">
        <f t="shared" si="7"/>
        <v>3.0738236380893325</v>
      </c>
      <c r="D24" s="89">
        <f t="shared" si="1"/>
        <v>3.5705689706043899</v>
      </c>
      <c r="E24" s="89">
        <f t="shared" si="1"/>
        <v>4.4037885069817033</v>
      </c>
      <c r="F24" s="90">
        <f t="shared" si="1"/>
        <v>5.2260294883926397</v>
      </c>
      <c r="G24" s="89">
        <f t="shared" si="1"/>
        <v>6.3037960595843234</v>
      </c>
      <c r="H24" s="89">
        <f t="shared" si="0"/>
        <v>8.4384187661357917</v>
      </c>
      <c r="I24" s="90">
        <f t="shared" si="0"/>
        <v>11.34032237742414</v>
      </c>
      <c r="J24" s="89">
        <f t="shared" si="0"/>
        <v>14.845403671040177</v>
      </c>
      <c r="K24" s="89">
        <f t="shared" si="0"/>
        <v>18.549347786703244</v>
      </c>
      <c r="L24" s="90">
        <f t="shared" si="0"/>
        <v>21.026069817483066</v>
      </c>
      <c r="M24" s="89">
        <f t="shared" si="0"/>
        <v>23.336664158645338</v>
      </c>
      <c r="N24" s="89">
        <f t="shared" si="0"/>
        <v>26.216967305535849</v>
      </c>
      <c r="O24" s="89">
        <f t="shared" si="0"/>
        <v>28.299518822046032</v>
      </c>
      <c r="P24" s="89">
        <f t="shared" si="0"/>
        <v>32.909490407360217</v>
      </c>
      <c r="Q24" s="92"/>
      <c r="R24" s="89">
        <f t="shared" si="2"/>
        <v>0.46083606042773617</v>
      </c>
      <c r="S24" s="91">
        <v>12</v>
      </c>
      <c r="T24" s="89">
        <f t="shared" si="3"/>
        <v>5.2260294883926397</v>
      </c>
      <c r="U24" s="89">
        <f t="shared" si="4"/>
        <v>11.34032237742414</v>
      </c>
      <c r="V24" s="89">
        <f t="shared" si="5"/>
        <v>21.026069817483066</v>
      </c>
      <c r="X24" s="86">
        <f t="shared" si="6"/>
        <v>136.08386852908967</v>
      </c>
    </row>
    <row r="25" spans="2:24" ht="12.9" customHeight="1" x14ac:dyDescent="0.25">
      <c r="B25" s="86">
        <v>13</v>
      </c>
      <c r="C25" s="89">
        <f t="shared" si="7"/>
        <v>3.5650345797295349</v>
      </c>
      <c r="D25" s="89">
        <f t="shared" si="1"/>
        <v>4.1069154715044069</v>
      </c>
      <c r="E25" s="89">
        <f t="shared" si="1"/>
        <v>5.0087505118103319</v>
      </c>
      <c r="F25" s="90">
        <f t="shared" si="1"/>
        <v>5.8918643377098476</v>
      </c>
      <c r="G25" s="89">
        <f t="shared" si="1"/>
        <v>7.0415045800954621</v>
      </c>
      <c r="H25" s="89">
        <f t="shared" si="0"/>
        <v>9.2990655298521414</v>
      </c>
      <c r="I25" s="90">
        <f t="shared" si="0"/>
        <v>12.3397558825639</v>
      </c>
      <c r="J25" s="89">
        <f t="shared" si="0"/>
        <v>15.983906216312054</v>
      </c>
      <c r="K25" s="89">
        <f t="shared" si="0"/>
        <v>19.81192930712756</v>
      </c>
      <c r="L25" s="90">
        <f t="shared" si="0"/>
        <v>22.362032494826938</v>
      </c>
      <c r="M25" s="89">
        <f t="shared" si="0"/>
        <v>24.73560488493154</v>
      </c>
      <c r="N25" s="89">
        <f t="shared" si="0"/>
        <v>27.688249610457049</v>
      </c>
      <c r="O25" s="89">
        <f t="shared" si="0"/>
        <v>29.819471223653217</v>
      </c>
      <c r="P25" s="89">
        <f t="shared" si="0"/>
        <v>34.528178974870883</v>
      </c>
      <c r="Q25" s="92"/>
      <c r="R25" s="89">
        <f t="shared" si="2"/>
        <v>0.47747008885605785</v>
      </c>
      <c r="S25" s="91">
        <v>13</v>
      </c>
      <c r="T25" s="89">
        <f t="shared" si="3"/>
        <v>5.8918643377098476</v>
      </c>
      <c r="U25" s="89">
        <f t="shared" si="4"/>
        <v>12.3397558825639</v>
      </c>
      <c r="V25" s="89">
        <f t="shared" si="5"/>
        <v>22.362032494826938</v>
      </c>
      <c r="X25" s="86">
        <f t="shared" si="6"/>
        <v>160.4168264733307</v>
      </c>
    </row>
    <row r="26" spans="2:24" ht="12.9" customHeight="1" x14ac:dyDescent="0.25">
      <c r="B26" s="86">
        <v>14</v>
      </c>
      <c r="C26" s="89">
        <f t="shared" si="7"/>
        <v>4.0746749573993482</v>
      </c>
      <c r="D26" s="89">
        <f t="shared" si="1"/>
        <v>4.6604250626577679</v>
      </c>
      <c r="E26" s="89">
        <f t="shared" si="1"/>
        <v>5.6287261030397318</v>
      </c>
      <c r="F26" s="90">
        <f t="shared" si="1"/>
        <v>6.5706313837893431</v>
      </c>
      <c r="G26" s="89">
        <f t="shared" si="1"/>
        <v>7.78953360975237</v>
      </c>
      <c r="H26" s="89">
        <f t="shared" si="0"/>
        <v>10.165313805377059</v>
      </c>
      <c r="I26" s="90">
        <f t="shared" si="0"/>
        <v>13.339274149099545</v>
      </c>
      <c r="J26" s="89">
        <f t="shared" si="0"/>
        <v>17.116933596000067</v>
      </c>
      <c r="K26" s="89">
        <f t="shared" si="0"/>
        <v>21.064144212997057</v>
      </c>
      <c r="L26" s="90">
        <f t="shared" si="0"/>
        <v>23.68479130484058</v>
      </c>
      <c r="M26" s="89">
        <f t="shared" si="0"/>
        <v>26.118948045037371</v>
      </c>
      <c r="N26" s="89">
        <f t="shared" si="0"/>
        <v>29.141237740672796</v>
      </c>
      <c r="O26" s="89">
        <f t="shared" si="0"/>
        <v>31.31934962259529</v>
      </c>
      <c r="P26" s="89">
        <f t="shared" si="0"/>
        <v>36.123273680398142</v>
      </c>
      <c r="Q26" s="92"/>
      <c r="R26" s="89">
        <f t="shared" si="2"/>
        <v>0.49257788020144166</v>
      </c>
      <c r="S26" s="91">
        <v>14</v>
      </c>
      <c r="T26" s="89">
        <f t="shared" si="3"/>
        <v>6.5706313837893431</v>
      </c>
      <c r="U26" s="89">
        <f t="shared" si="4"/>
        <v>13.339274149099545</v>
      </c>
      <c r="V26" s="89">
        <f t="shared" si="5"/>
        <v>23.68479130484058</v>
      </c>
      <c r="X26" s="86">
        <f t="shared" si="6"/>
        <v>186.74983808739364</v>
      </c>
    </row>
    <row r="27" spans="2:24" ht="12.9" customHeight="1" x14ac:dyDescent="0.25">
      <c r="B27" s="86">
        <v>15</v>
      </c>
      <c r="C27" s="89">
        <f t="shared" si="7"/>
        <v>4.600915571727338</v>
      </c>
      <c r="D27" s="89">
        <f t="shared" si="1"/>
        <v>5.2293488840989664</v>
      </c>
      <c r="E27" s="89">
        <f t="shared" si="1"/>
        <v>6.26213779504325</v>
      </c>
      <c r="F27" s="90">
        <f t="shared" si="1"/>
        <v>7.2609439276700334</v>
      </c>
      <c r="G27" s="89">
        <f t="shared" si="1"/>
        <v>8.5467562417045446</v>
      </c>
      <c r="H27" s="89">
        <f t="shared" si="0"/>
        <v>11.03653765909101</v>
      </c>
      <c r="I27" s="90">
        <f t="shared" si="0"/>
        <v>14.338859510956645</v>
      </c>
      <c r="J27" s="89">
        <f t="shared" si="0"/>
        <v>18.245085602415134</v>
      </c>
      <c r="K27" s="89">
        <f t="shared" si="0"/>
        <v>22.307129581578689</v>
      </c>
      <c r="L27" s="90">
        <f t="shared" si="0"/>
        <v>24.99579013972863</v>
      </c>
      <c r="M27" s="89">
        <f t="shared" si="0"/>
        <v>27.488392863442982</v>
      </c>
      <c r="N27" s="89">
        <f t="shared" si="0"/>
        <v>30.577914166892494</v>
      </c>
      <c r="O27" s="89">
        <f t="shared" si="0"/>
        <v>32.80132064579184</v>
      </c>
      <c r="P27" s="89">
        <f t="shared" si="0"/>
        <v>37.697298218353822</v>
      </c>
      <c r="Q27" s="92"/>
      <c r="R27" s="89">
        <f t="shared" si="2"/>
        <v>0.50638224902906559</v>
      </c>
      <c r="S27" s="91">
        <v>15</v>
      </c>
      <c r="T27" s="89">
        <f t="shared" si="3"/>
        <v>7.2609439276700334</v>
      </c>
      <c r="U27" s="89">
        <f t="shared" si="4"/>
        <v>14.338859510956645</v>
      </c>
      <c r="V27" s="89">
        <f t="shared" si="5"/>
        <v>24.99579013972863</v>
      </c>
      <c r="X27" s="86">
        <f t="shared" si="6"/>
        <v>215.08289266434969</v>
      </c>
    </row>
    <row r="28" spans="2:24" ht="12.9" customHeight="1" x14ac:dyDescent="0.25">
      <c r="B28" s="86">
        <v>16</v>
      </c>
      <c r="C28" s="89">
        <f t="shared" si="7"/>
        <v>5.1422054430436823</v>
      </c>
      <c r="D28" s="89">
        <f t="shared" si="1"/>
        <v>5.8122124701349733</v>
      </c>
      <c r="E28" s="89">
        <f t="shared" si="1"/>
        <v>6.9076643534970019</v>
      </c>
      <c r="F28" s="90">
        <f t="shared" si="1"/>
        <v>7.9616455723785533</v>
      </c>
      <c r="G28" s="89">
        <f t="shared" si="1"/>
        <v>9.3122363537960045</v>
      </c>
      <c r="H28" s="89">
        <f t="shared" si="0"/>
        <v>11.912219697415994</v>
      </c>
      <c r="I28" s="90">
        <f t="shared" si="0"/>
        <v>15.338498885001608</v>
      </c>
      <c r="J28" s="89">
        <f t="shared" si="0"/>
        <v>19.368860220584512</v>
      </c>
      <c r="K28" s="89">
        <f t="shared" si="0"/>
        <v>23.541828923096112</v>
      </c>
      <c r="L28" s="90">
        <f t="shared" si="0"/>
        <v>26.296227604864239</v>
      </c>
      <c r="M28" s="89">
        <f t="shared" si="0"/>
        <v>28.84535072340476</v>
      </c>
      <c r="N28" s="89">
        <f t="shared" si="0"/>
        <v>31.999926908815183</v>
      </c>
      <c r="O28" s="89">
        <f t="shared" si="0"/>
        <v>34.267186537826703</v>
      </c>
      <c r="P28" s="89">
        <f t="shared" si="0"/>
        <v>39.252354790768479</v>
      </c>
      <c r="Q28" s="92"/>
      <c r="R28" s="89">
        <f t="shared" si="2"/>
        <v>0.51906289083892443</v>
      </c>
      <c r="S28" s="91">
        <v>16</v>
      </c>
      <c r="T28" s="89">
        <f t="shared" si="3"/>
        <v>7.9616455723785533</v>
      </c>
      <c r="U28" s="89">
        <f t="shared" si="4"/>
        <v>15.338498885001608</v>
      </c>
      <c r="V28" s="89">
        <f t="shared" si="5"/>
        <v>26.296227604864239</v>
      </c>
      <c r="X28" s="86">
        <f t="shared" si="6"/>
        <v>245.41598216002572</v>
      </c>
    </row>
    <row r="29" spans="2:24" ht="12.9" customHeight="1" x14ac:dyDescent="0.25">
      <c r="B29" s="86">
        <v>17</v>
      </c>
      <c r="C29" s="89">
        <f t="shared" si="7"/>
        <v>5.6972171014978219</v>
      </c>
      <c r="D29" s="89">
        <f t="shared" si="1"/>
        <v>6.4077597777389341</v>
      </c>
      <c r="E29" s="89">
        <f t="shared" si="1"/>
        <v>7.5641864495775692</v>
      </c>
      <c r="F29" s="90">
        <f t="shared" si="1"/>
        <v>8.671760204670079</v>
      </c>
      <c r="G29" s="89">
        <f t="shared" si="1"/>
        <v>10.085186334619332</v>
      </c>
      <c r="H29" s="89">
        <f t="shared" si="1"/>
        <v>12.791926423831992</v>
      </c>
      <c r="I29" s="90">
        <f t="shared" si="1"/>
        <v>16.338182377392471</v>
      </c>
      <c r="J29" s="89">
        <f t="shared" si="1"/>
        <v>20.488676238391502</v>
      </c>
      <c r="K29" s="89">
        <f t="shared" si="1"/>
        <v>24.76903534390145</v>
      </c>
      <c r="L29" s="90">
        <f t="shared" si="1"/>
        <v>27.587111638275324</v>
      </c>
      <c r="M29" s="89">
        <f t="shared" si="1"/>
        <v>30.191009121639812</v>
      </c>
      <c r="N29" s="89">
        <f t="shared" si="1"/>
        <v>33.408663605004612</v>
      </c>
      <c r="O29" s="89">
        <f t="shared" si="1"/>
        <v>35.7184656590046</v>
      </c>
      <c r="P29" s="89">
        <f t="shared" si="1"/>
        <v>40.790216706902527</v>
      </c>
      <c r="Q29" s="92"/>
      <c r="R29" s="89">
        <f t="shared" si="2"/>
        <v>0.53076652006709135</v>
      </c>
      <c r="S29" s="91">
        <v>17</v>
      </c>
      <c r="T29" s="89">
        <f t="shared" si="3"/>
        <v>8.671760204670079</v>
      </c>
      <c r="U29" s="89">
        <f t="shared" si="4"/>
        <v>16.338182377392471</v>
      </c>
      <c r="V29" s="89">
        <f t="shared" si="5"/>
        <v>27.587111638275324</v>
      </c>
      <c r="X29" s="86">
        <f t="shared" si="6"/>
        <v>277.74910041567199</v>
      </c>
    </row>
    <row r="30" spans="2:24" ht="12.9" customHeight="1" x14ac:dyDescent="0.25">
      <c r="B30" s="86">
        <v>18</v>
      </c>
      <c r="C30" s="89">
        <f t="shared" si="7"/>
        <v>6.2648046845064762</v>
      </c>
      <c r="D30" s="89">
        <f t="shared" si="7"/>
        <v>7.0149109011725761</v>
      </c>
      <c r="E30" s="89">
        <f t="shared" si="7"/>
        <v>8.2307461947566694</v>
      </c>
      <c r="F30" s="90">
        <f t="shared" si="7"/>
        <v>9.3904550806889837</v>
      </c>
      <c r="G30" s="89">
        <f t="shared" si="7"/>
        <v>10.864936116508861</v>
      </c>
      <c r="H30" s="89">
        <f t="shared" si="7"/>
        <v>13.67529035039829</v>
      </c>
      <c r="I30" s="90">
        <f t="shared" si="7"/>
        <v>17.337902368740746</v>
      </c>
      <c r="J30" s="89">
        <f t="shared" si="7"/>
        <v>21.604889795728166</v>
      </c>
      <c r="K30" s="89">
        <f t="shared" si="7"/>
        <v>25.989423082637209</v>
      </c>
      <c r="L30" s="90">
        <f t="shared" si="7"/>
        <v>28.869299430392633</v>
      </c>
      <c r="M30" s="89">
        <f t="shared" si="7"/>
        <v>31.52637844038663</v>
      </c>
      <c r="N30" s="89">
        <f t="shared" si="7"/>
        <v>34.805305734705072</v>
      </c>
      <c r="O30" s="89">
        <f t="shared" si="7"/>
        <v>37.156451456606746</v>
      </c>
      <c r="P30" s="89">
        <f t="shared" si="7"/>
        <v>42.312396331679963</v>
      </c>
      <c r="Q30" s="92"/>
      <c r="R30" s="89">
        <f t="shared" si="2"/>
        <v>0.54161425534495111</v>
      </c>
      <c r="S30" s="91">
        <v>18</v>
      </c>
      <c r="T30" s="89">
        <f t="shared" si="3"/>
        <v>9.3904550806889837</v>
      </c>
      <c r="U30" s="89">
        <f t="shared" si="4"/>
        <v>17.337902368740746</v>
      </c>
      <c r="V30" s="89">
        <f t="shared" si="5"/>
        <v>28.869299430392633</v>
      </c>
      <c r="X30" s="86">
        <f t="shared" si="6"/>
        <v>312.08224263733342</v>
      </c>
    </row>
    <row r="31" spans="2:24" ht="12.9" customHeight="1" x14ac:dyDescent="0.25">
      <c r="B31" s="86">
        <v>19</v>
      </c>
      <c r="C31" s="89">
        <f t="shared" si="7"/>
        <v>6.8439714454829561</v>
      </c>
      <c r="D31" s="89">
        <f t="shared" si="7"/>
        <v>7.6327296475714759</v>
      </c>
      <c r="E31" s="89">
        <f t="shared" si="7"/>
        <v>8.9065164819879747</v>
      </c>
      <c r="F31" s="90">
        <f t="shared" si="7"/>
        <v>10.117013063859044</v>
      </c>
      <c r="G31" s="89">
        <f t="shared" si="7"/>
        <v>11.650910032126951</v>
      </c>
      <c r="H31" s="89">
        <f t="shared" si="7"/>
        <v>14.561996731420226</v>
      </c>
      <c r="I31" s="90">
        <f t="shared" si="7"/>
        <v>18.337652896756474</v>
      </c>
      <c r="J31" s="89">
        <f t="shared" si="7"/>
        <v>22.717806744199855</v>
      </c>
      <c r="K31" s="89">
        <f t="shared" si="7"/>
        <v>27.203571029356826</v>
      </c>
      <c r="L31" s="90">
        <f t="shared" si="7"/>
        <v>30.143527205646155</v>
      </c>
      <c r="M31" s="89">
        <f t="shared" si="7"/>
        <v>32.852326861729708</v>
      </c>
      <c r="N31" s="89">
        <f t="shared" si="7"/>
        <v>36.190869129270048</v>
      </c>
      <c r="O31" s="89">
        <f t="shared" si="7"/>
        <v>38.58225655493424</v>
      </c>
      <c r="P31" s="89">
        <f t="shared" si="7"/>
        <v>43.820195964517531</v>
      </c>
      <c r="Q31" s="92"/>
      <c r="R31" s="89">
        <f t="shared" si="2"/>
        <v>0.55170708709665461</v>
      </c>
      <c r="S31" s="91">
        <v>19</v>
      </c>
      <c r="T31" s="89">
        <f t="shared" si="3"/>
        <v>10.117013063859044</v>
      </c>
      <c r="U31" s="89">
        <f t="shared" si="4"/>
        <v>18.337652896756474</v>
      </c>
      <c r="V31" s="89">
        <f t="shared" si="5"/>
        <v>30.143527205646155</v>
      </c>
      <c r="X31" s="86">
        <f t="shared" si="6"/>
        <v>348.41540503837302</v>
      </c>
    </row>
    <row r="32" spans="2:24" ht="12.9" customHeight="1" x14ac:dyDescent="0.25">
      <c r="B32" s="86">
        <v>20</v>
      </c>
      <c r="C32" s="89">
        <f t="shared" si="7"/>
        <v>7.4338442629342358</v>
      </c>
      <c r="D32" s="89">
        <f t="shared" si="7"/>
        <v>8.2603983325464014</v>
      </c>
      <c r="E32" s="89">
        <f t="shared" si="7"/>
        <v>9.5907773922648669</v>
      </c>
      <c r="F32" s="90">
        <f t="shared" si="7"/>
        <v>10.850811394182585</v>
      </c>
      <c r="G32" s="89">
        <f t="shared" si="7"/>
        <v>12.442609210450065</v>
      </c>
      <c r="H32" s="89">
        <f t="shared" si="7"/>
        <v>15.451773539047727</v>
      </c>
      <c r="I32" s="90">
        <f t="shared" si="7"/>
        <v>19.33742922942826</v>
      </c>
      <c r="J32" s="89">
        <f t="shared" si="7"/>
        <v>23.827692043030861</v>
      </c>
      <c r="K32" s="89">
        <f t="shared" si="7"/>
        <v>28.411980584305635</v>
      </c>
      <c r="L32" s="90">
        <f t="shared" si="7"/>
        <v>31.410432844230925</v>
      </c>
      <c r="M32" s="89">
        <f t="shared" si="7"/>
        <v>34.169606902838339</v>
      </c>
      <c r="N32" s="89">
        <f t="shared" si="7"/>
        <v>37.566234786625053</v>
      </c>
      <c r="O32" s="89">
        <f t="shared" si="7"/>
        <v>39.996846312938644</v>
      </c>
      <c r="P32" s="89">
        <f t="shared" si="7"/>
        <v>45.314746618125859</v>
      </c>
      <c r="Q32" s="92"/>
      <c r="R32" s="89">
        <f t="shared" si="2"/>
        <v>0.56112998607226994</v>
      </c>
      <c r="S32" s="91">
        <v>20</v>
      </c>
      <c r="T32" s="89">
        <f t="shared" si="3"/>
        <v>10.850811394182585</v>
      </c>
      <c r="U32" s="89">
        <f t="shared" si="4"/>
        <v>19.33742922942826</v>
      </c>
      <c r="V32" s="89">
        <f t="shared" si="5"/>
        <v>31.410432844230925</v>
      </c>
      <c r="X32" s="86">
        <f t="shared" si="6"/>
        <v>386.74858458856522</v>
      </c>
    </row>
    <row r="33" spans="2:24" ht="12.9" customHeight="1" x14ac:dyDescent="0.25">
      <c r="B33" s="86">
        <v>21</v>
      </c>
      <c r="C33" s="89">
        <f t="shared" si="7"/>
        <v>8.033653420232735</v>
      </c>
      <c r="D33" s="89">
        <f t="shared" si="7"/>
        <v>8.89719794207722</v>
      </c>
      <c r="E33" s="89">
        <f t="shared" si="7"/>
        <v>10.282897782522859</v>
      </c>
      <c r="F33" s="90">
        <f t="shared" si="7"/>
        <v>11.591305208820739</v>
      </c>
      <c r="G33" s="89">
        <f t="shared" si="7"/>
        <v>13.239597975395306</v>
      </c>
      <c r="H33" s="89">
        <f t="shared" si="7"/>
        <v>16.344383762478834</v>
      </c>
      <c r="I33" s="90">
        <f t="shared" si="7"/>
        <v>20.337227563547927</v>
      </c>
      <c r="J33" s="89">
        <f t="shared" si="7"/>
        <v>24.934777014902309</v>
      </c>
      <c r="K33" s="89">
        <f t="shared" si="7"/>
        <v>29.615089436182725</v>
      </c>
      <c r="L33" s="90">
        <f t="shared" si="7"/>
        <v>32.670573340917308</v>
      </c>
      <c r="M33" s="89">
        <f t="shared" si="7"/>
        <v>35.478875905727257</v>
      </c>
      <c r="N33" s="89">
        <f t="shared" si="7"/>
        <v>38.932172683516065</v>
      </c>
      <c r="O33" s="89">
        <f t="shared" si="7"/>
        <v>41.401064771417609</v>
      </c>
      <c r="P33" s="89">
        <f t="shared" si="7"/>
        <v>46.797038041561315</v>
      </c>
      <c r="Q33" s="92"/>
      <c r="R33" s="89">
        <f t="shared" si="2"/>
        <v>0.56995503308409556</v>
      </c>
      <c r="S33" s="91">
        <v>21</v>
      </c>
      <c r="T33" s="89">
        <f t="shared" si="3"/>
        <v>11.591305208820739</v>
      </c>
      <c r="U33" s="89">
        <f t="shared" si="4"/>
        <v>20.337227563547927</v>
      </c>
      <c r="V33" s="89">
        <f t="shared" si="5"/>
        <v>32.670573340917308</v>
      </c>
      <c r="X33" s="86">
        <f t="shared" si="6"/>
        <v>427.08177883450645</v>
      </c>
    </row>
    <row r="34" spans="2:24" ht="12.9" customHeight="1" x14ac:dyDescent="0.25">
      <c r="B34" s="86">
        <v>22</v>
      </c>
      <c r="C34" s="89">
        <f t="shared" si="7"/>
        <v>8.6427164006664015</v>
      </c>
      <c r="D34" s="89">
        <f t="shared" si="7"/>
        <v>9.5424923387850811</v>
      </c>
      <c r="E34" s="89">
        <f t="shared" si="7"/>
        <v>10.982320734473676</v>
      </c>
      <c r="F34" s="90">
        <f t="shared" si="7"/>
        <v>12.338014578790647</v>
      </c>
      <c r="G34" s="89">
        <f t="shared" si="7"/>
        <v>14.041493189421969</v>
      </c>
      <c r="H34" s="89">
        <f t="shared" si="7"/>
        <v>17.239619404759058</v>
      </c>
      <c r="I34" s="90">
        <f t="shared" si="7"/>
        <v>21.33704480767263</v>
      </c>
      <c r="J34" s="89">
        <f t="shared" si="7"/>
        <v>26.039265028165019</v>
      </c>
      <c r="K34" s="89">
        <f t="shared" si="7"/>
        <v>30.813282343953034</v>
      </c>
      <c r="L34" s="90">
        <f t="shared" si="7"/>
        <v>33.9244384714438</v>
      </c>
      <c r="M34" s="89">
        <f t="shared" si="7"/>
        <v>36.780712084035557</v>
      </c>
      <c r="N34" s="89">
        <f t="shared" si="7"/>
        <v>40.289360437593864</v>
      </c>
      <c r="O34" s="89">
        <f t="shared" si="7"/>
        <v>42.795654999308539</v>
      </c>
      <c r="P34" s="89">
        <f t="shared" si="7"/>
        <v>48.267942290835173</v>
      </c>
      <c r="Q34" s="92"/>
      <c r="R34" s="89">
        <f t="shared" si="2"/>
        <v>0.57824383320196227</v>
      </c>
      <c r="S34" s="91">
        <v>22</v>
      </c>
      <c r="T34" s="89">
        <f t="shared" si="3"/>
        <v>12.338014578790647</v>
      </c>
      <c r="U34" s="89">
        <f t="shared" si="4"/>
        <v>21.33704480767263</v>
      </c>
      <c r="V34" s="89">
        <f t="shared" si="5"/>
        <v>33.9244384714438</v>
      </c>
      <c r="X34" s="86">
        <f t="shared" si="6"/>
        <v>469.41498576879786</v>
      </c>
    </row>
    <row r="35" spans="2:24" ht="12.9" customHeight="1" x14ac:dyDescent="0.25">
      <c r="B35" s="86">
        <v>23</v>
      </c>
      <c r="C35" s="89">
        <f t="shared" si="7"/>
        <v>9.2604247758087546</v>
      </c>
      <c r="D35" s="89">
        <f t="shared" si="7"/>
        <v>10.195715555745821</v>
      </c>
      <c r="E35" s="89">
        <f t="shared" si="7"/>
        <v>11.688551922452435</v>
      </c>
      <c r="F35" s="90">
        <f t="shared" si="7"/>
        <v>13.090514188172801</v>
      </c>
      <c r="G35" s="89">
        <f t="shared" si="7"/>
        <v>14.847955799267668</v>
      </c>
      <c r="H35" s="89">
        <f t="shared" si="7"/>
        <v>18.137296741155808</v>
      </c>
      <c r="I35" s="90">
        <f t="shared" si="7"/>
        <v>22.336878423184253</v>
      </c>
      <c r="J35" s="89">
        <f t="shared" si="7"/>
        <v>27.141336002976505</v>
      </c>
      <c r="K35" s="89">
        <f t="shared" si="7"/>
        <v>32.006899681704304</v>
      </c>
      <c r="L35" s="90">
        <f t="shared" si="7"/>
        <v>35.172461626908053</v>
      </c>
      <c r="M35" s="89">
        <f t="shared" si="7"/>
        <v>38.075627250355801</v>
      </c>
      <c r="N35" s="89">
        <f t="shared" si="7"/>
        <v>41.638398118858476</v>
      </c>
      <c r="O35" s="89">
        <f t="shared" si="7"/>
        <v>44.181275249971101</v>
      </c>
      <c r="P35" s="89">
        <f t="shared" si="7"/>
        <v>49.728232466431493</v>
      </c>
      <c r="Q35" s="92"/>
      <c r="R35" s="89">
        <f t="shared" si="2"/>
        <v>0.58604939956989166</v>
      </c>
      <c r="S35" s="91">
        <v>23</v>
      </c>
      <c r="T35" s="89">
        <f t="shared" si="3"/>
        <v>13.090514188172801</v>
      </c>
      <c r="U35" s="89">
        <f t="shared" si="4"/>
        <v>22.336878423184253</v>
      </c>
      <c r="V35" s="89">
        <f t="shared" si="5"/>
        <v>35.172461626908053</v>
      </c>
      <c r="X35" s="86">
        <f t="shared" si="6"/>
        <v>513.7482037332378</v>
      </c>
    </row>
    <row r="36" spans="2:24" ht="12.9" customHeight="1" x14ac:dyDescent="0.25">
      <c r="B36" s="86">
        <v>24</v>
      </c>
      <c r="C36" s="89">
        <f t="shared" si="7"/>
        <v>9.8862335022414651</v>
      </c>
      <c r="D36" s="89">
        <f t="shared" si="7"/>
        <v>10.856361475532282</v>
      </c>
      <c r="E36" s="89">
        <f t="shared" si="7"/>
        <v>12.401150217444435</v>
      </c>
      <c r="F36" s="90">
        <f t="shared" si="7"/>
        <v>13.848425027170213</v>
      </c>
      <c r="G36" s="89">
        <f t="shared" si="7"/>
        <v>15.658684052512825</v>
      </c>
      <c r="H36" s="89">
        <f t="shared" si="7"/>
        <v>19.037252529523549</v>
      </c>
      <c r="I36" s="90">
        <f t="shared" si="7"/>
        <v>23.336726306089531</v>
      </c>
      <c r="J36" s="89">
        <f t="shared" si="7"/>
        <v>28.241150025528761</v>
      </c>
      <c r="K36" s="89">
        <f t="shared" si="7"/>
        <v>33.196244288628179</v>
      </c>
      <c r="L36" s="90">
        <f t="shared" si="7"/>
        <v>36.415028501807313</v>
      </c>
      <c r="M36" s="89">
        <f t="shared" si="7"/>
        <v>39.364077026603915</v>
      </c>
      <c r="N36" s="89">
        <f t="shared" si="7"/>
        <v>42.979820139351638</v>
      </c>
      <c r="O36" s="89">
        <f t="shared" si="7"/>
        <v>45.558511936530586</v>
      </c>
      <c r="P36" s="89">
        <f t="shared" si="7"/>
        <v>51.178597777377391</v>
      </c>
      <c r="Q36" s="92"/>
      <c r="R36" s="89">
        <f t="shared" si="2"/>
        <v>0.59341763902662636</v>
      </c>
      <c r="S36" s="91">
        <v>24</v>
      </c>
      <c r="T36" s="89">
        <f t="shared" si="3"/>
        <v>13.848425027170213</v>
      </c>
      <c r="U36" s="89">
        <f t="shared" si="4"/>
        <v>23.336726306089531</v>
      </c>
      <c r="V36" s="89">
        <f t="shared" si="5"/>
        <v>36.415028501807313</v>
      </c>
      <c r="X36" s="86">
        <f t="shared" si="6"/>
        <v>560.08143134614875</v>
      </c>
    </row>
    <row r="37" spans="2:24" ht="12.9" customHeight="1" x14ac:dyDescent="0.25">
      <c r="B37" s="86">
        <v>25</v>
      </c>
      <c r="C37" s="89">
        <f t="shared" si="7"/>
        <v>10.519652112024698</v>
      </c>
      <c r="D37" s="89">
        <f t="shared" si="7"/>
        <v>11.52397537224933</v>
      </c>
      <c r="E37" s="89">
        <f t="shared" si="7"/>
        <v>13.119720024937791</v>
      </c>
      <c r="F37" s="90">
        <f t="shared" si="7"/>
        <v>14.611407639483309</v>
      </c>
      <c r="G37" s="89">
        <f t="shared" si="7"/>
        <v>16.47340799867338</v>
      </c>
      <c r="H37" s="89">
        <f t="shared" si="7"/>
        <v>19.939340949019652</v>
      </c>
      <c r="I37" s="90">
        <f t="shared" si="7"/>
        <v>24.336586697884304</v>
      </c>
      <c r="J37" s="89">
        <f t="shared" si="7"/>
        <v>29.338850276866367</v>
      </c>
      <c r="K37" s="89">
        <f t="shared" si="7"/>
        <v>34.381587017552953</v>
      </c>
      <c r="L37" s="90">
        <f t="shared" si="7"/>
        <v>37.65248413348278</v>
      </c>
      <c r="M37" s="89">
        <f t="shared" si="7"/>
        <v>40.646469120275199</v>
      </c>
      <c r="N37" s="89">
        <f t="shared" si="7"/>
        <v>44.314104896219156</v>
      </c>
      <c r="O37" s="89">
        <f t="shared" si="7"/>
        <v>46.92789016008075</v>
      </c>
      <c r="P37" s="89">
        <f t="shared" si="7"/>
        <v>52.619655776172841</v>
      </c>
      <c r="Q37" s="92"/>
      <c r="R37" s="89">
        <f t="shared" si="2"/>
        <v>0.60038853520709823</v>
      </c>
      <c r="S37" s="91">
        <v>25</v>
      </c>
      <c r="T37" s="89">
        <f t="shared" si="3"/>
        <v>14.611407639483309</v>
      </c>
      <c r="U37" s="89">
        <f t="shared" si="4"/>
        <v>24.336586697884304</v>
      </c>
      <c r="V37" s="89">
        <f t="shared" si="5"/>
        <v>37.65248413348278</v>
      </c>
      <c r="X37" s="86">
        <f t="shared" si="6"/>
        <v>608.4146674471076</v>
      </c>
    </row>
    <row r="38" spans="2:24" ht="12.9" customHeight="1" x14ac:dyDescent="0.25">
      <c r="B38" s="86">
        <v>26</v>
      </c>
      <c r="C38" s="89">
        <f t="shared" si="7"/>
        <v>11.160237406164143</v>
      </c>
      <c r="D38" s="89">
        <f t="shared" si="7"/>
        <v>12.198146923505595</v>
      </c>
      <c r="E38" s="89">
        <f t="shared" si="7"/>
        <v>13.843904982007606</v>
      </c>
      <c r="F38" s="90">
        <f t="shared" si="7"/>
        <v>15.379156583261738</v>
      </c>
      <c r="G38" s="89">
        <f t="shared" si="7"/>
        <v>17.291884989738758</v>
      </c>
      <c r="H38" s="89">
        <f t="shared" si="7"/>
        <v>20.843431103075421</v>
      </c>
      <c r="I38" s="90">
        <f t="shared" si="7"/>
        <v>25.336458117477267</v>
      </c>
      <c r="J38" s="89">
        <f t="shared" si="7"/>
        <v>30.434565428615826</v>
      </c>
      <c r="K38" s="89">
        <f t="shared" si="7"/>
        <v>35.563171271923459</v>
      </c>
      <c r="L38" s="90">
        <f t="shared" si="7"/>
        <v>38.885138659830041</v>
      </c>
      <c r="M38" s="89">
        <f t="shared" si="7"/>
        <v>41.923170096353914</v>
      </c>
      <c r="N38" s="89">
        <f t="shared" si="7"/>
        <v>45.641682666283153</v>
      </c>
      <c r="O38" s="89">
        <f t="shared" si="7"/>
        <v>48.289882332456834</v>
      </c>
      <c r="P38" s="89">
        <f t="shared" si="7"/>
        <v>54.051962388576641</v>
      </c>
      <c r="Q38" s="92"/>
      <c r="R38" s="89">
        <f t="shared" si="2"/>
        <v>0.60699709927699352</v>
      </c>
      <c r="S38" s="91">
        <v>26</v>
      </c>
      <c r="T38" s="89">
        <f t="shared" si="3"/>
        <v>15.379156583261738</v>
      </c>
      <c r="U38" s="89">
        <f t="shared" si="4"/>
        <v>25.336458117477267</v>
      </c>
      <c r="V38" s="89">
        <f t="shared" si="5"/>
        <v>38.885138659830041</v>
      </c>
      <c r="X38" s="86">
        <f t="shared" si="6"/>
        <v>658.74791105440897</v>
      </c>
    </row>
    <row r="39" spans="2:24" ht="12.9" customHeight="1" x14ac:dyDescent="0.25">
      <c r="B39" s="86">
        <v>27</v>
      </c>
      <c r="C39" s="89">
        <f t="shared" si="7"/>
        <v>11.807587351366138</v>
      </c>
      <c r="D39" s="89">
        <f t="shared" si="7"/>
        <v>12.878504393144546</v>
      </c>
      <c r="E39" s="89">
        <f t="shared" si="7"/>
        <v>14.573382730821709</v>
      </c>
      <c r="F39" s="90">
        <f t="shared" si="7"/>
        <v>16.151395849664109</v>
      </c>
      <c r="G39" s="89">
        <f t="shared" si="7"/>
        <v>18.113895966895981</v>
      </c>
      <c r="H39" s="89">
        <f t="shared" si="7"/>
        <v>21.749404964499533</v>
      </c>
      <c r="I39" s="90">
        <f t="shared" si="7"/>
        <v>26.336339308591445</v>
      </c>
      <c r="J39" s="89">
        <f t="shared" si="7"/>
        <v>31.528411619522313</v>
      </c>
      <c r="K39" s="89">
        <f t="shared" si="7"/>
        <v>36.741216747797637</v>
      </c>
      <c r="L39" s="90">
        <f t="shared" si="7"/>
        <v>40.113272069413625</v>
      </c>
      <c r="M39" s="89">
        <f t="shared" si="7"/>
        <v>43.194510966156031</v>
      </c>
      <c r="N39" s="89">
        <f t="shared" si="7"/>
        <v>46.962942124751443</v>
      </c>
      <c r="O39" s="89">
        <f t="shared" si="7"/>
        <v>49.644915298994228</v>
      </c>
      <c r="P39" s="89">
        <f t="shared" si="7"/>
        <v>55.476020205745201</v>
      </c>
      <c r="Q39" s="92"/>
      <c r="R39" s="89">
        <f t="shared" si="2"/>
        <v>0.61327414035842098</v>
      </c>
      <c r="S39" s="91">
        <v>27</v>
      </c>
      <c r="T39" s="89">
        <f t="shared" si="3"/>
        <v>16.151395849664109</v>
      </c>
      <c r="U39" s="89">
        <f t="shared" si="4"/>
        <v>26.336339308591445</v>
      </c>
      <c r="V39" s="89">
        <f t="shared" si="5"/>
        <v>40.113272069413625</v>
      </c>
      <c r="X39" s="86">
        <f t="shared" si="6"/>
        <v>711.08116133196904</v>
      </c>
    </row>
    <row r="40" spans="2:24" ht="12.9" customHeight="1" x14ac:dyDescent="0.25">
      <c r="B40" s="86">
        <v>28</v>
      </c>
      <c r="C40" s="89">
        <f t="shared" si="7"/>
        <v>12.46133594800256</v>
      </c>
      <c r="D40" s="89">
        <f t="shared" si="7"/>
        <v>13.564709754618823</v>
      </c>
      <c r="E40" s="89">
        <f t="shared" si="7"/>
        <v>15.307860552601202</v>
      </c>
      <c r="F40" s="90">
        <f t="shared" si="7"/>
        <v>16.927875044422496</v>
      </c>
      <c r="G40" s="89">
        <f t="shared" si="7"/>
        <v>18.939242371917501</v>
      </c>
      <c r="H40" s="89">
        <f t="shared" si="7"/>
        <v>22.657155670645981</v>
      </c>
      <c r="I40" s="90">
        <f t="shared" si="7"/>
        <v>27.336229198689804</v>
      </c>
      <c r="J40" s="89">
        <f t="shared" si="7"/>
        <v>32.620494099025535</v>
      </c>
      <c r="K40" s="89">
        <f t="shared" si="7"/>
        <v>37.915922544697068</v>
      </c>
      <c r="L40" s="90">
        <f t="shared" si="7"/>
        <v>41.337138151427396</v>
      </c>
      <c r="M40" s="89">
        <f t="shared" si="7"/>
        <v>44.460791836317753</v>
      </c>
      <c r="N40" s="89">
        <f t="shared" si="7"/>
        <v>48.27823577031549</v>
      </c>
      <c r="O40" s="89">
        <f t="shared" si="7"/>
        <v>50.993376268499453</v>
      </c>
      <c r="P40" s="89">
        <f t="shared" si="7"/>
        <v>56.892285393353603</v>
      </c>
      <c r="Q40" s="92"/>
      <c r="R40" s="89">
        <f t="shared" si="2"/>
        <v>0.61924689471193894</v>
      </c>
      <c r="S40" s="91">
        <v>28</v>
      </c>
      <c r="T40" s="89">
        <f t="shared" si="3"/>
        <v>16.927875044422496</v>
      </c>
      <c r="U40" s="89">
        <f t="shared" si="4"/>
        <v>27.336229198689804</v>
      </c>
      <c r="V40" s="89">
        <f t="shared" si="5"/>
        <v>41.337138151427396</v>
      </c>
      <c r="X40" s="86">
        <f t="shared" si="6"/>
        <v>765.41441756331449</v>
      </c>
    </row>
    <row r="41" spans="2:24" ht="12.9" customHeight="1" x14ac:dyDescent="0.25">
      <c r="B41" s="86">
        <v>29</v>
      </c>
      <c r="C41" s="89">
        <f t="shared" si="7"/>
        <v>13.121148887960382</v>
      </c>
      <c r="D41" s="89">
        <f t="shared" si="7"/>
        <v>14.256454576274677</v>
      </c>
      <c r="E41" s="89">
        <f t="shared" si="7"/>
        <v>16.047071695364892</v>
      </c>
      <c r="F41" s="90">
        <f t="shared" si="7"/>
        <v>17.708366182824584</v>
      </c>
      <c r="G41" s="89">
        <f t="shared" si="7"/>
        <v>19.767743559474834</v>
      </c>
      <c r="H41" s="89">
        <f t="shared" si="7"/>
        <v>23.56658609841023</v>
      </c>
      <c r="I41" s="90">
        <f t="shared" si="7"/>
        <v>28.336126866584447</v>
      </c>
      <c r="J41" s="89">
        <f t="shared" si="7"/>
        <v>33.710908603910802</v>
      </c>
      <c r="K41" s="89">
        <f t="shared" si="7"/>
        <v>39.087469770693957</v>
      </c>
      <c r="L41" s="90">
        <f t="shared" si="7"/>
        <v>42.556967804292682</v>
      </c>
      <c r="M41" s="89">
        <f t="shared" si="7"/>
        <v>45.722285804174533</v>
      </c>
      <c r="N41" s="89">
        <f t="shared" si="7"/>
        <v>49.587884472898835</v>
      </c>
      <c r="O41" s="89">
        <f t="shared" si="7"/>
        <v>52.335617785933614</v>
      </c>
      <c r="P41" s="89">
        <f t="shared" si="7"/>
        <v>58.30117348979492</v>
      </c>
      <c r="Q41" s="92"/>
      <c r="R41" s="89">
        <f t="shared" si="2"/>
        <v>0.6249395432975452</v>
      </c>
      <c r="S41" s="91">
        <v>29</v>
      </c>
      <c r="T41" s="89">
        <f t="shared" si="3"/>
        <v>17.708366182824584</v>
      </c>
      <c r="U41" s="89">
        <f t="shared" si="4"/>
        <v>28.336126866584447</v>
      </c>
      <c r="V41" s="89">
        <f t="shared" si="5"/>
        <v>42.556967804292682</v>
      </c>
      <c r="X41" s="86">
        <f t="shared" si="6"/>
        <v>821.747679130949</v>
      </c>
    </row>
    <row r="42" spans="2:24" ht="12.9" customHeight="1" x14ac:dyDescent="0.25">
      <c r="B42" s="86">
        <v>30</v>
      </c>
      <c r="C42" s="89">
        <f t="shared" si="7"/>
        <v>13.786719859502711</v>
      </c>
      <c r="D42" s="89">
        <f t="shared" si="7"/>
        <v>14.953456528455439</v>
      </c>
      <c r="E42" s="89">
        <f t="shared" si="7"/>
        <v>16.790772265566623</v>
      </c>
      <c r="F42" s="90">
        <f t="shared" si="7"/>
        <v>18.492660981953474</v>
      </c>
      <c r="G42" s="89">
        <f t="shared" si="7"/>
        <v>20.599234614585342</v>
      </c>
      <c r="H42" s="89">
        <f t="shared" si="7"/>
        <v>24.477607664886257</v>
      </c>
      <c r="I42" s="90">
        <f t="shared" si="7"/>
        <v>29.336031516661592</v>
      </c>
      <c r="J42" s="89">
        <f t="shared" si="7"/>
        <v>34.799742519140928</v>
      </c>
      <c r="K42" s="89">
        <f t="shared" si="7"/>
        <v>40.256023738711804</v>
      </c>
      <c r="L42" s="90">
        <f t="shared" si="7"/>
        <v>43.772971825742189</v>
      </c>
      <c r="M42" s="89">
        <f t="shared" si="7"/>
        <v>46.979242243671159</v>
      </c>
      <c r="N42" s="89">
        <f t="shared" si="7"/>
        <v>50.892181311517092</v>
      </c>
      <c r="O42" s="89">
        <f t="shared" si="7"/>
        <v>53.671961930240592</v>
      </c>
      <c r="P42" s="89">
        <f t="shared" si="7"/>
        <v>59.70306430442993</v>
      </c>
      <c r="Q42" s="92"/>
      <c r="R42" s="89">
        <f t="shared" si="2"/>
        <v>0.63037364039680843</v>
      </c>
      <c r="S42" s="91">
        <v>30</v>
      </c>
      <c r="T42" s="89">
        <f t="shared" si="3"/>
        <v>18.492660981953474</v>
      </c>
      <c r="U42" s="89">
        <f t="shared" si="4"/>
        <v>29.336031516661592</v>
      </c>
      <c r="V42" s="89">
        <f t="shared" si="5"/>
        <v>43.772971825742189</v>
      </c>
      <c r="X42" s="86">
        <f t="shared" si="6"/>
        <v>880.08094549984776</v>
      </c>
    </row>
    <row r="43" spans="2:24" ht="12.9" customHeight="1" x14ac:dyDescent="0.25">
      <c r="B43" s="86">
        <v>31</v>
      </c>
      <c r="C43" s="89">
        <f t="shared" si="7"/>
        <v>14.457767385668999</v>
      </c>
      <c r="D43" s="89">
        <f t="shared" si="7"/>
        <v>15.655456401681386</v>
      </c>
      <c r="E43" s="89">
        <f t="shared" si="7"/>
        <v>17.538738581475492</v>
      </c>
      <c r="F43" s="90">
        <f t="shared" si="7"/>
        <v>19.280568559129293</v>
      </c>
      <c r="G43" s="89">
        <f t="shared" si="7"/>
        <v>21.433564500310776</v>
      </c>
      <c r="H43" s="89">
        <f t="shared" si="7"/>
        <v>25.390139311488223</v>
      </c>
      <c r="I43" s="90">
        <f t="shared" si="7"/>
        <v>30.335942458198119</v>
      </c>
      <c r="J43" s="89">
        <f t="shared" si="7"/>
        <v>35.887075862806</v>
      </c>
      <c r="K43" s="89">
        <f t="shared" si="7"/>
        <v>41.42173582978522</v>
      </c>
      <c r="L43" s="90">
        <f t="shared" si="7"/>
        <v>44.985343280365143</v>
      </c>
      <c r="M43" s="89">
        <f t="shared" si="7"/>
        <v>48.231889594451957</v>
      </c>
      <c r="N43" s="89">
        <f t="shared" si="7"/>
        <v>52.191394833191929</v>
      </c>
      <c r="O43" s="89">
        <f t="shared" si="7"/>
        <v>55.002703880023894</v>
      </c>
      <c r="P43" s="89">
        <f t="shared" si="7"/>
        <v>61.098306081058112</v>
      </c>
      <c r="Q43" s="92"/>
      <c r="R43" s="89">
        <f t="shared" si="2"/>
        <v>0.63556847082292733</v>
      </c>
      <c r="S43" s="91">
        <v>31</v>
      </c>
      <c r="T43" s="89">
        <f t="shared" si="3"/>
        <v>19.280568559129293</v>
      </c>
      <c r="U43" s="89">
        <f t="shared" si="4"/>
        <v>30.335942458198119</v>
      </c>
      <c r="V43" s="89">
        <f t="shared" si="5"/>
        <v>44.985343280365143</v>
      </c>
      <c r="X43" s="86">
        <f t="shared" si="6"/>
        <v>940.41421620414167</v>
      </c>
    </row>
    <row r="44" spans="2:24" ht="12.9" customHeight="1" x14ac:dyDescent="0.25">
      <c r="B44" s="86">
        <v>32</v>
      </c>
      <c r="C44" s="89">
        <f t="shared" si="7"/>
        <v>15.134032105415708</v>
      </c>
      <c r="D44" s="89">
        <f t="shared" si="7"/>
        <v>16.362215547665794</v>
      </c>
      <c r="E44" s="89">
        <f t="shared" si="7"/>
        <v>18.290764907283055</v>
      </c>
      <c r="F44" s="90">
        <f t="shared" si="7"/>
        <v>20.071913464548285</v>
      </c>
      <c r="G44" s="89">
        <f t="shared" si="7"/>
        <v>22.270594476644238</v>
      </c>
      <c r="H44" s="89">
        <f t="shared" si="7"/>
        <v>26.304106638359229</v>
      </c>
      <c r="I44" s="90">
        <f t="shared" si="7"/>
        <v>31.335859088634496</v>
      </c>
      <c r="J44" s="89">
        <f t="shared" si="7"/>
        <v>36.972982126683121</v>
      </c>
      <c r="K44" s="89">
        <f t="shared" si="7"/>
        <v>42.584745082980838</v>
      </c>
      <c r="L44" s="90">
        <f t="shared" si="7"/>
        <v>46.194259520278472</v>
      </c>
      <c r="M44" s="89">
        <f t="shared" si="7"/>
        <v>49.480437742971688</v>
      </c>
      <c r="N44" s="89">
        <f t="shared" si="7"/>
        <v>53.485771836235365</v>
      </c>
      <c r="O44" s="89">
        <f t="shared" si="7"/>
        <v>56.328114959710902</v>
      </c>
      <c r="P44" s="89">
        <f t="shared" si="7"/>
        <v>62.487219057088502</v>
      </c>
      <c r="Q44" s="92"/>
      <c r="R44" s="89">
        <f t="shared" si="2"/>
        <v>0.64054134937785567</v>
      </c>
      <c r="S44" s="91">
        <v>32</v>
      </c>
      <c r="T44" s="89">
        <f t="shared" si="3"/>
        <v>20.071913464548285</v>
      </c>
      <c r="U44" s="89">
        <f t="shared" si="4"/>
        <v>31.335859088634496</v>
      </c>
      <c r="V44" s="89">
        <f t="shared" si="5"/>
        <v>46.194259520278472</v>
      </c>
      <c r="X44" s="86">
        <f t="shared" si="6"/>
        <v>1002.7474908363039</v>
      </c>
    </row>
    <row r="45" spans="2:24" ht="12.9" customHeight="1" x14ac:dyDescent="0.25">
      <c r="B45" s="86">
        <v>33</v>
      </c>
      <c r="C45" s="89">
        <f t="shared" si="7"/>
        <v>15.815274424327857</v>
      </c>
      <c r="D45" s="89">
        <f t="shared" si="7"/>
        <v>17.073513672329383</v>
      </c>
      <c r="E45" s="89">
        <f t="shared" si="7"/>
        <v>19.046661503175116</v>
      </c>
      <c r="F45" s="90">
        <f t="shared" si="7"/>
        <v>20.866533990714789</v>
      </c>
      <c r="G45" s="89">
        <f t="shared" si="7"/>
        <v>23.110196743607261</v>
      </c>
      <c r="H45" s="89">
        <f t="shared" si="7"/>
        <v>27.219441162755167</v>
      </c>
      <c r="I45" s="90">
        <f t="shared" si="7"/>
        <v>32.335780879948437</v>
      </c>
      <c r="J45" s="89">
        <f t="shared" si="7"/>
        <v>38.057528997447051</v>
      </c>
      <c r="K45" s="89">
        <f t="shared" si="7"/>
        <v>43.745179559434185</v>
      </c>
      <c r="L45" s="90">
        <f t="shared" si="7"/>
        <v>47.399883919080914</v>
      </c>
      <c r="M45" s="89">
        <f t="shared" si="7"/>
        <v>50.725080066281237</v>
      </c>
      <c r="N45" s="89">
        <f t="shared" si="7"/>
        <v>54.775539760110341</v>
      </c>
      <c r="O45" s="89">
        <f t="shared" si="7"/>
        <v>57.648445255858547</v>
      </c>
      <c r="P45" s="89">
        <f t="shared" si="7"/>
        <v>63.870098522344954</v>
      </c>
      <c r="Q45" s="92"/>
      <c r="R45" s="89">
        <f t="shared" si="2"/>
        <v>0.64530787328702555</v>
      </c>
      <c r="S45" s="91">
        <v>33</v>
      </c>
      <c r="T45" s="89">
        <f t="shared" si="3"/>
        <v>20.866533990714789</v>
      </c>
      <c r="U45" s="89">
        <f t="shared" si="4"/>
        <v>32.335780879948437</v>
      </c>
      <c r="V45" s="89">
        <f t="shared" si="5"/>
        <v>47.399883919080914</v>
      </c>
      <c r="X45" s="86">
        <f t="shared" si="6"/>
        <v>1067.0807690382985</v>
      </c>
    </row>
    <row r="46" spans="2:24" ht="12.9" customHeight="1" x14ac:dyDescent="0.25">
      <c r="B46" s="86">
        <v>34</v>
      </c>
      <c r="C46" s="89">
        <f t="shared" si="7"/>
        <v>16.501272475544379</v>
      </c>
      <c r="D46" s="89">
        <f t="shared" si="7"/>
        <v>17.789146923546873</v>
      </c>
      <c r="E46" s="89">
        <f t="shared" si="7"/>
        <v>19.806252939214577</v>
      </c>
      <c r="F46" s="90">
        <f t="shared" si="7"/>
        <v>21.664280712551975</v>
      </c>
      <c r="G46" s="89">
        <f t="shared" si="7"/>
        <v>23.952253270899316</v>
      </c>
      <c r="H46" s="89">
        <f t="shared" si="7"/>
        <v>28.13607968036828</v>
      </c>
      <c r="I46" s="90">
        <f t="shared" si="7"/>
        <v>33.33570736747923</v>
      </c>
      <c r="J46" s="89">
        <f t="shared" si="7"/>
        <v>39.140778978600316</v>
      </c>
      <c r="K46" s="89">
        <f t="shared" si="7"/>
        <v>44.90315751851994</v>
      </c>
      <c r="L46" s="90">
        <f t="shared" si="7"/>
        <v>48.602367367294192</v>
      </c>
      <c r="M46" s="89">
        <f t="shared" si="7"/>
        <v>51.965995195121906</v>
      </c>
      <c r="N46" s="89">
        <f t="shared" si="7"/>
        <v>56.060908747789078</v>
      </c>
      <c r="O46" s="89">
        <f t="shared" si="7"/>
        <v>58.963925875519394</v>
      </c>
      <c r="P46" s="89">
        <f t="shared" si="7"/>
        <v>65.247217460942437</v>
      </c>
      <c r="Q46" s="92"/>
      <c r="R46" s="89">
        <f t="shared" si="2"/>
        <v>0.64988213610510159</v>
      </c>
      <c r="S46" s="91">
        <v>34</v>
      </c>
      <c r="T46" s="89">
        <f t="shared" si="3"/>
        <v>21.664280712551975</v>
      </c>
      <c r="U46" s="89">
        <f t="shared" si="4"/>
        <v>33.33570736747923</v>
      </c>
      <c r="V46" s="89">
        <f t="shared" si="5"/>
        <v>48.602367367294192</v>
      </c>
      <c r="X46" s="86">
        <f t="shared" si="6"/>
        <v>1133.4140504942939</v>
      </c>
    </row>
    <row r="47" spans="2:24" ht="12.9" customHeight="1" x14ac:dyDescent="0.25">
      <c r="B47" s="86">
        <v>35</v>
      </c>
      <c r="C47" s="89">
        <f t="shared" si="7"/>
        <v>17.191820342443918</v>
      </c>
      <c r="D47" s="89">
        <f t="shared" si="7"/>
        <v>18.508926227024915</v>
      </c>
      <c r="E47" s="89">
        <f t="shared" si="7"/>
        <v>20.569376630744966</v>
      </c>
      <c r="F47" s="90">
        <f t="shared" ref="D47:P62" si="8">CHIINV(F$12,$B47)</f>
        <v>22.465015220882691</v>
      </c>
      <c r="G47" s="89">
        <f t="shared" si="8"/>
        <v>24.796654783692496</v>
      </c>
      <c r="H47" s="89">
        <f t="shared" si="8"/>
        <v>29.053963712647128</v>
      </c>
      <c r="I47" s="90">
        <f t="shared" si="8"/>
        <v>34.335638140703615</v>
      </c>
      <c r="J47" s="89">
        <f t="shared" si="8"/>
        <v>40.222789929322822</v>
      </c>
      <c r="K47" s="89">
        <f t="shared" si="8"/>
        <v>46.058788436836693</v>
      </c>
      <c r="L47" s="90">
        <f t="shared" si="8"/>
        <v>49.801849568201867</v>
      </c>
      <c r="M47" s="89">
        <f t="shared" si="8"/>
        <v>53.203348542056496</v>
      </c>
      <c r="N47" s="89">
        <f t="shared" si="8"/>
        <v>57.342073433859248</v>
      </c>
      <c r="O47" s="89">
        <f t="shared" si="8"/>
        <v>60.274770904781043</v>
      </c>
      <c r="P47" s="89">
        <f t="shared" si="8"/>
        <v>66.618828843701081</v>
      </c>
      <c r="Q47" s="92"/>
      <c r="R47" s="89">
        <f t="shared" si="2"/>
        <v>0.65427690986326115</v>
      </c>
      <c r="S47" s="91">
        <v>35</v>
      </c>
      <c r="T47" s="89">
        <f t="shared" si="3"/>
        <v>22.465015220882691</v>
      </c>
      <c r="U47" s="89">
        <f t="shared" si="4"/>
        <v>34.335638140703615</v>
      </c>
      <c r="V47" s="89">
        <f t="shared" si="5"/>
        <v>49.801849568201867</v>
      </c>
      <c r="X47" s="86">
        <f t="shared" si="6"/>
        <v>1201.7473349246266</v>
      </c>
    </row>
    <row r="48" spans="2:24" ht="12.9" customHeight="1" x14ac:dyDescent="0.25">
      <c r="B48" s="86">
        <v>36</v>
      </c>
      <c r="C48" s="89">
        <f t="shared" ref="C48:P63" si="9">CHIINV(C$12,$B48)</f>
        <v>17.886726503300213</v>
      </c>
      <c r="D48" s="89">
        <f t="shared" si="8"/>
        <v>19.232675832154079</v>
      </c>
      <c r="E48" s="89">
        <f t="shared" si="8"/>
        <v>21.335881560799049</v>
      </c>
      <c r="F48" s="90">
        <f t="shared" si="8"/>
        <v>23.268609018893766</v>
      </c>
      <c r="G48" s="89">
        <f t="shared" si="8"/>
        <v>25.643299879851067</v>
      </c>
      <c r="H48" s="89">
        <f t="shared" si="8"/>
        <v>29.973039026370149</v>
      </c>
      <c r="I48" s="90">
        <f t="shared" si="8"/>
        <v>35.335572835576926</v>
      </c>
      <c r="J48" s="89">
        <f t="shared" si="8"/>
        <v>41.303615533408426</v>
      </c>
      <c r="K48" s="89">
        <f t="shared" si="8"/>
        <v>47.212173894937365</v>
      </c>
      <c r="L48" s="90">
        <f t="shared" si="8"/>
        <v>50.998460165710647</v>
      </c>
      <c r="M48" s="89">
        <f t="shared" si="8"/>
        <v>54.437293631813226</v>
      </c>
      <c r="N48" s="89">
        <f t="shared" si="8"/>
        <v>58.619214501687054</v>
      </c>
      <c r="O48" s="89">
        <f t="shared" si="8"/>
        <v>61.581179114757255</v>
      </c>
      <c r="P48" s="89">
        <f t="shared" si="8"/>
        <v>67.985167626024236</v>
      </c>
      <c r="Q48" s="92"/>
      <c r="R48" s="89">
        <f t="shared" si="2"/>
        <v>0.65850380089115823</v>
      </c>
      <c r="S48" s="91">
        <v>36</v>
      </c>
      <c r="T48" s="89">
        <f t="shared" si="3"/>
        <v>23.268609018893766</v>
      </c>
      <c r="U48" s="89">
        <f t="shared" si="4"/>
        <v>35.335572835576926</v>
      </c>
      <c r="V48" s="89">
        <f t="shared" si="5"/>
        <v>50.998460165710647</v>
      </c>
      <c r="X48" s="86">
        <f t="shared" si="6"/>
        <v>1272.0806220807694</v>
      </c>
    </row>
    <row r="49" spans="2:24" ht="12.9" customHeight="1" x14ac:dyDescent="0.25">
      <c r="B49" s="86">
        <v>37</v>
      </c>
      <c r="C49" s="89">
        <f>CHIINV(C$12,$B49)</f>
        <v>18.585812465049642</v>
      </c>
      <c r="D49" s="89">
        <f t="shared" si="8"/>
        <v>19.960232036407149</v>
      </c>
      <c r="E49" s="89">
        <f t="shared" si="8"/>
        <v>22.105627161169512</v>
      </c>
      <c r="F49" s="90">
        <f t="shared" si="8"/>
        <v>24.074942556679911</v>
      </c>
      <c r="G49" s="89">
        <f t="shared" si="8"/>
        <v>26.492094258349855</v>
      </c>
      <c r="H49" s="89">
        <f t="shared" si="8"/>
        <v>30.893255214252317</v>
      </c>
      <c r="I49" s="90">
        <f t="shared" si="8"/>
        <v>36.335511128138357</v>
      </c>
      <c r="J49" s="89">
        <f t="shared" si="8"/>
        <v>42.383305709059748</v>
      </c>
      <c r="K49" s="89">
        <f t="shared" si="8"/>
        <v>48.363408352194327</v>
      </c>
      <c r="L49" s="90">
        <f t="shared" si="8"/>
        <v>52.192319730102881</v>
      </c>
      <c r="M49" s="89">
        <f t="shared" si="8"/>
        <v>55.667973264261093</v>
      </c>
      <c r="N49" s="89">
        <f t="shared" si="8"/>
        <v>59.892500045086891</v>
      </c>
      <c r="O49" s="89">
        <f t="shared" si="8"/>
        <v>62.883335453741161</v>
      </c>
      <c r="P49" s="89">
        <f>CHIINV(P$12,$B49)</f>
        <v>69.346452496241213</v>
      </c>
      <c r="Q49" s="92"/>
      <c r="R49" s="89">
        <f t="shared" si="2"/>
        <v>0.66257338370110841</v>
      </c>
      <c r="S49" s="91">
        <v>37</v>
      </c>
      <c r="T49" s="89">
        <f t="shared" si="3"/>
        <v>24.074942556679911</v>
      </c>
      <c r="U49" s="89">
        <f t="shared" si="4"/>
        <v>36.335511128138357</v>
      </c>
      <c r="V49" s="89">
        <f t="shared" si="5"/>
        <v>52.192319730102881</v>
      </c>
      <c r="X49" s="86">
        <f t="shared" si="6"/>
        <v>1344.4139117411191</v>
      </c>
    </row>
    <row r="50" spans="2:24" x14ac:dyDescent="0.25">
      <c r="B50" s="86">
        <v>38</v>
      </c>
      <c r="C50" s="89">
        <f t="shared" si="9"/>
        <v>19.288911558890987</v>
      </c>
      <c r="D50" s="89">
        <f t="shared" si="8"/>
        <v>20.691442062257167</v>
      </c>
      <c r="E50" s="89">
        <f t="shared" si="8"/>
        <v>22.878482328733465</v>
      </c>
      <c r="F50" s="90">
        <f t="shared" si="8"/>
        <v>24.883904383335626</v>
      </c>
      <c r="G50" s="89">
        <f t="shared" si="8"/>
        <v>27.342950042242862</v>
      </c>
      <c r="H50" s="89">
        <f t="shared" si="8"/>
        <v>31.814565327367294</v>
      </c>
      <c r="I50" s="90">
        <f t="shared" si="8"/>
        <v>37.335452729143377</v>
      </c>
      <c r="J50" s="89">
        <f t="shared" si="8"/>
        <v>43.461906968405387</v>
      </c>
      <c r="K50" s="89">
        <f t="shared" si="8"/>
        <v>49.512579826575561</v>
      </c>
      <c r="L50" s="90">
        <f t="shared" si="8"/>
        <v>53.383540622969299</v>
      </c>
      <c r="M50" s="89">
        <f t="shared" si="8"/>
        <v>56.895520535055979</v>
      </c>
      <c r="N50" s="89">
        <f t="shared" si="8"/>
        <v>61.162086763689686</v>
      </c>
      <c r="O50" s="89">
        <f t="shared" si="8"/>
        <v>64.181412357406217</v>
      </c>
      <c r="P50" s="89">
        <f t="shared" si="8"/>
        <v>70.702887411505003</v>
      </c>
      <c r="R50" s="89">
        <f t="shared" si="2"/>
        <v>0.66649531649877924</v>
      </c>
      <c r="S50" s="91">
        <v>38</v>
      </c>
      <c r="T50" s="89">
        <f t="shared" si="3"/>
        <v>24.883904383335626</v>
      </c>
      <c r="U50" s="89">
        <f t="shared" si="4"/>
        <v>37.335452729143377</v>
      </c>
      <c r="V50" s="89">
        <f t="shared" si="5"/>
        <v>53.383540622969299</v>
      </c>
      <c r="X50" s="86">
        <f t="shared" si="6"/>
        <v>1418.7472037074483</v>
      </c>
    </row>
    <row r="51" spans="2:24" x14ac:dyDescent="0.25">
      <c r="B51" s="86">
        <v>39</v>
      </c>
      <c r="C51" s="89">
        <f t="shared" si="9"/>
        <v>19.995867874956335</v>
      </c>
      <c r="D51" s="89">
        <f t="shared" si="8"/>
        <v>21.426163064945921</v>
      </c>
      <c r="E51" s="89">
        <f t="shared" si="8"/>
        <v>23.654324557593021</v>
      </c>
      <c r="F51" s="90">
        <f t="shared" si="8"/>
        <v>25.695390399574777</v>
      </c>
      <c r="G51" s="89">
        <f t="shared" si="8"/>
        <v>28.195785182400428</v>
      </c>
      <c r="H51" s="89">
        <f t="shared" si="8"/>
        <v>32.736925551768891</v>
      </c>
      <c r="I51" s="90">
        <f t="shared" si="8"/>
        <v>38.335397379535983</v>
      </c>
      <c r="J51" s="89">
        <f t="shared" si="8"/>
        <v>44.539462734075784</v>
      </c>
      <c r="K51" s="89">
        <f t="shared" si="8"/>
        <v>50.65977049321372</v>
      </c>
      <c r="L51" s="90">
        <f t="shared" si="8"/>
        <v>54.572227758941729</v>
      </c>
      <c r="M51" s="89">
        <f t="shared" si="8"/>
        <v>58.120059734686265</v>
      </c>
      <c r="N51" s="89">
        <f t="shared" si="8"/>
        <v>62.428121016184896</v>
      </c>
      <c r="O51" s="89">
        <f t="shared" si="8"/>
        <v>65.475570903468011</v>
      </c>
      <c r="P51" s="89">
        <f t="shared" si="8"/>
        <v>72.05466295198778</v>
      </c>
      <c r="R51" s="89">
        <f t="shared" si="2"/>
        <v>0.67027844123226343</v>
      </c>
      <c r="S51" s="91">
        <v>39</v>
      </c>
      <c r="T51" s="89">
        <f t="shared" si="3"/>
        <v>25.695390399574777</v>
      </c>
      <c r="U51" s="89">
        <f t="shared" si="4"/>
        <v>38.335397379535983</v>
      </c>
      <c r="V51" s="89">
        <f t="shared" si="5"/>
        <v>54.572227758941729</v>
      </c>
      <c r="X51" s="86">
        <f t="shared" si="6"/>
        <v>1495.0804978019034</v>
      </c>
    </row>
    <row r="52" spans="2:24" x14ac:dyDescent="0.25">
      <c r="B52" s="86">
        <v>40</v>
      </c>
      <c r="C52" s="89">
        <f t="shared" si="9"/>
        <v>20.706535316970083</v>
      </c>
      <c r="D52" s="89">
        <f t="shared" si="8"/>
        <v>22.164261252975162</v>
      </c>
      <c r="E52" s="89">
        <f t="shared" si="8"/>
        <v>24.433039170807891</v>
      </c>
      <c r="F52" s="90">
        <f t="shared" si="8"/>
        <v>26.509303196693111</v>
      </c>
      <c r="G52" s="89">
        <f t="shared" si="8"/>
        <v>29.050522930545512</v>
      </c>
      <c r="H52" s="89">
        <f t="shared" si="8"/>
        <v>33.660294922984448</v>
      </c>
      <c r="I52" s="90">
        <f t="shared" si="8"/>
        <v>39.335344846611335</v>
      </c>
      <c r="J52" s="89">
        <f t="shared" si="8"/>
        <v>45.616013618942141</v>
      </c>
      <c r="K52" s="89">
        <f t="shared" si="8"/>
        <v>51.805057213317518</v>
      </c>
      <c r="L52" s="90">
        <f t="shared" si="8"/>
        <v>55.75847927888703</v>
      </c>
      <c r="M52" s="89">
        <f t="shared" si="8"/>
        <v>59.341707143171199</v>
      </c>
      <c r="N52" s="89">
        <f t="shared" si="8"/>
        <v>63.690739751564458</v>
      </c>
      <c r="O52" s="89">
        <f t="shared" si="8"/>
        <v>66.765961832803924</v>
      </c>
      <c r="P52" s="89">
        <f t="shared" si="8"/>
        <v>73.40195751899104</v>
      </c>
      <c r="R52" s="89">
        <f t="shared" si="2"/>
        <v>0.67393087057114831</v>
      </c>
      <c r="S52" s="91">
        <v>40</v>
      </c>
      <c r="T52" s="89">
        <f t="shared" si="3"/>
        <v>26.509303196693111</v>
      </c>
      <c r="U52" s="89">
        <f t="shared" si="4"/>
        <v>39.335344846611335</v>
      </c>
      <c r="V52" s="89">
        <f t="shared" si="5"/>
        <v>55.75847927888703</v>
      </c>
      <c r="X52" s="86">
        <f t="shared" si="6"/>
        <v>1573.4137938644535</v>
      </c>
    </row>
    <row r="53" spans="2:24" x14ac:dyDescent="0.25">
      <c r="B53" s="86">
        <v>41</v>
      </c>
      <c r="C53" s="89">
        <f t="shared" si="9"/>
        <v>21.420776760823482</v>
      </c>
      <c r="D53" s="89">
        <f t="shared" si="8"/>
        <v>22.905611106081146</v>
      </c>
      <c r="E53" s="89">
        <f t="shared" si="8"/>
        <v>25.214518638112516</v>
      </c>
      <c r="F53" s="90">
        <f t="shared" si="8"/>
        <v>27.325551469994188</v>
      </c>
      <c r="G53" s="89">
        <f t="shared" si="8"/>
        <v>29.907091371995278</v>
      </c>
      <c r="H53" s="89">
        <f t="shared" si="8"/>
        <v>34.584635073095889</v>
      </c>
      <c r="I53" s="90">
        <f t="shared" si="8"/>
        <v>40.335294920749128</v>
      </c>
      <c r="J53" s="89">
        <f t="shared" si="8"/>
        <v>46.691597674123187</v>
      </c>
      <c r="K53" s="89">
        <f t="shared" si="8"/>
        <v>52.94851200308203</v>
      </c>
      <c r="L53" s="90">
        <f t="shared" si="8"/>
        <v>56.942387146824103</v>
      </c>
      <c r="M53" s="89">
        <f t="shared" si="8"/>
        <v>60.560571734843755</v>
      </c>
      <c r="N53" s="89">
        <f t="shared" si="8"/>
        <v>64.950071335211177</v>
      </c>
      <c r="O53" s="89">
        <f t="shared" si="8"/>
        <v>68.052726455441601</v>
      </c>
      <c r="P53" s="89">
        <f t="shared" si="8"/>
        <v>74.744938398423756</v>
      </c>
      <c r="R53" s="89">
        <f t="shared" si="2"/>
        <v>0.67746006378987655</v>
      </c>
      <c r="S53" s="91">
        <v>41</v>
      </c>
      <c r="T53" s="89">
        <f t="shared" si="3"/>
        <v>27.325551469994188</v>
      </c>
      <c r="U53" s="89">
        <f t="shared" si="4"/>
        <v>40.335294920749128</v>
      </c>
      <c r="V53" s="89">
        <f t="shared" si="5"/>
        <v>56.942387146824103</v>
      </c>
      <c r="X53" s="86">
        <f t="shared" si="6"/>
        <v>1653.7470917507142</v>
      </c>
    </row>
    <row r="54" spans="2:24" x14ac:dyDescent="0.25">
      <c r="B54" s="86">
        <v>42</v>
      </c>
      <c r="C54" s="89">
        <f t="shared" si="9"/>
        <v>22.138463303470573</v>
      </c>
      <c r="D54" s="89">
        <f t="shared" si="8"/>
        <v>23.650094677826193</v>
      </c>
      <c r="E54" s="89">
        <f t="shared" si="8"/>
        <v>25.998661968152376</v>
      </c>
      <c r="F54" s="90">
        <f t="shared" si="8"/>
        <v>28.144049496682634</v>
      </c>
      <c r="G54" s="89">
        <f t="shared" si="8"/>
        <v>30.765423010045325</v>
      </c>
      <c r="H54" s="89">
        <f t="shared" si="8"/>
        <v>35.509910005974412</v>
      </c>
      <c r="I54" s="90">
        <f t="shared" si="8"/>
        <v>41.335247412620994</v>
      </c>
      <c r="J54" s="89">
        <f t="shared" si="8"/>
        <v>47.766250609549786</v>
      </c>
      <c r="K54" s="89">
        <f t="shared" si="8"/>
        <v>54.090202450712404</v>
      </c>
      <c r="L54" s="90">
        <f t="shared" si="8"/>
        <v>58.124037680868028</v>
      </c>
      <c r="M54" s="89">
        <f t="shared" si="8"/>
        <v>61.776755805349204</v>
      </c>
      <c r="N54" s="89">
        <f t="shared" si="8"/>
        <v>66.206236283993249</v>
      </c>
      <c r="O54" s="89">
        <f t="shared" si="8"/>
        <v>69.335997456900401</v>
      </c>
      <c r="P54" s="89">
        <f t="shared" si="8"/>
        <v>76.083762707700032</v>
      </c>
      <c r="R54" s="89">
        <f t="shared" si="2"/>
        <v>0.68087289319307043</v>
      </c>
      <c r="S54" s="91">
        <v>42</v>
      </c>
      <c r="T54" s="89">
        <f t="shared" si="3"/>
        <v>28.144049496682634</v>
      </c>
      <c r="U54" s="89">
        <f t="shared" si="4"/>
        <v>41.335247412620994</v>
      </c>
      <c r="V54" s="89">
        <f t="shared" si="5"/>
        <v>58.124037680868028</v>
      </c>
      <c r="X54" s="86">
        <f t="shared" si="6"/>
        <v>1736.0803913300817</v>
      </c>
    </row>
    <row r="55" spans="2:24" x14ac:dyDescent="0.25">
      <c r="B55" s="86">
        <v>43</v>
      </c>
      <c r="C55" s="89">
        <f t="shared" si="9"/>
        <v>22.859473590598505</v>
      </c>
      <c r="D55" s="89">
        <f t="shared" si="8"/>
        <v>24.397600971897468</v>
      </c>
      <c r="E55" s="89">
        <f t="shared" si="8"/>
        <v>26.785374165536322</v>
      </c>
      <c r="F55" s="90">
        <f t="shared" si="8"/>
        <v>28.964716669775697</v>
      </c>
      <c r="G55" s="89">
        <f t="shared" si="8"/>
        <v>31.625454395189042</v>
      </c>
      <c r="H55" s="89">
        <f t="shared" si="8"/>
        <v>36.436085896930436</v>
      </c>
      <c r="I55" s="90">
        <f t="shared" si="8"/>
        <v>42.335202150793663</v>
      </c>
      <c r="J55" s="89">
        <f t="shared" si="8"/>
        <v>48.840005990708121</v>
      </c>
      <c r="K55" s="89">
        <f t="shared" si="8"/>
        <v>55.230192088408906</v>
      </c>
      <c r="L55" s="90">
        <f t="shared" si="8"/>
        <v>59.303512026899817</v>
      </c>
      <c r="M55" s="89">
        <f t="shared" si="8"/>
        <v>62.990355531101983</v>
      </c>
      <c r="N55" s="89">
        <f t="shared" si="8"/>
        <v>67.459347922325833</v>
      </c>
      <c r="O55" s="89">
        <f t="shared" si="8"/>
        <v>70.615899617966363</v>
      </c>
      <c r="P55" s="89">
        <f t="shared" si="8"/>
        <v>77.418578241313924</v>
      </c>
      <c r="R55" s="89">
        <f t="shared" si="2"/>
        <v>0.68417570244748893</v>
      </c>
      <c r="S55" s="91">
        <v>43</v>
      </c>
      <c r="T55" s="89">
        <f t="shared" si="3"/>
        <v>28.964716669775697</v>
      </c>
      <c r="U55" s="89">
        <f t="shared" si="4"/>
        <v>42.335202150793663</v>
      </c>
      <c r="V55" s="89">
        <f t="shared" si="5"/>
        <v>59.303512026899817</v>
      </c>
      <c r="X55" s="86">
        <f t="shared" si="6"/>
        <v>1820.4136924841275</v>
      </c>
    </row>
    <row r="56" spans="2:24" x14ac:dyDescent="0.25">
      <c r="B56" s="86">
        <v>44</v>
      </c>
      <c r="C56" s="89">
        <f t="shared" si="9"/>
        <v>23.583693213226709</v>
      </c>
      <c r="D56" s="89">
        <f t="shared" si="8"/>
        <v>25.148025382824489</v>
      </c>
      <c r="E56" s="89">
        <f t="shared" si="8"/>
        <v>27.574565744459225</v>
      </c>
      <c r="F56" s="90">
        <f t="shared" si="8"/>
        <v>29.787477080861958</v>
      </c>
      <c r="G56" s="89">
        <f t="shared" si="8"/>
        <v>32.487125793400523</v>
      </c>
      <c r="H56" s="89">
        <f t="shared" si="8"/>
        <v>37.36313091361334</v>
      </c>
      <c r="I56" s="90">
        <f t="shared" si="8"/>
        <v>43.335158979663895</v>
      </c>
      <c r="J56" s="89">
        <f t="shared" si="8"/>
        <v>49.9128954146314</v>
      </c>
      <c r="K56" s="89">
        <f t="shared" si="8"/>
        <v>56.368540725118756</v>
      </c>
      <c r="L56" s="90">
        <f t="shared" si="8"/>
        <v>60.480886582336453</v>
      </c>
      <c r="M56" s="89">
        <f t="shared" si="8"/>
        <v>64.20146146988678</v>
      </c>
      <c r="N56" s="89">
        <f t="shared" si="8"/>
        <v>68.709512969345397</v>
      </c>
      <c r="O56" s="89">
        <f t="shared" si="8"/>
        <v>71.892550458999153</v>
      </c>
      <c r="P56" s="89">
        <f t="shared" si="8"/>
        <v>78.749524228043015</v>
      </c>
      <c r="R56" s="89">
        <f t="shared" si="2"/>
        <v>0.68737435796279123</v>
      </c>
      <c r="S56" s="91">
        <v>44</v>
      </c>
      <c r="T56" s="89">
        <f t="shared" si="3"/>
        <v>29.787477080861958</v>
      </c>
      <c r="U56" s="89">
        <f t="shared" si="4"/>
        <v>43.335158979663895</v>
      </c>
      <c r="V56" s="89">
        <f t="shared" si="5"/>
        <v>60.480886582336453</v>
      </c>
      <c r="X56" s="86">
        <f t="shared" si="6"/>
        <v>1906.7469951052115</v>
      </c>
    </row>
    <row r="57" spans="2:24" x14ac:dyDescent="0.25">
      <c r="B57" s="86">
        <v>45</v>
      </c>
      <c r="C57" s="89">
        <f t="shared" si="9"/>
        <v>24.311014164807947</v>
      </c>
      <c r="D57" s="89">
        <f t="shared" si="8"/>
        <v>25.901269193178042</v>
      </c>
      <c r="E57" s="89">
        <f t="shared" si="8"/>
        <v>28.366152291859848</v>
      </c>
      <c r="F57" s="90">
        <f t="shared" si="8"/>
        <v>30.612259145595473</v>
      </c>
      <c r="G57" s="89">
        <f t="shared" si="8"/>
        <v>33.350380888566818</v>
      </c>
      <c r="H57" s="89">
        <f t="shared" si="8"/>
        <v>38.291015055469515</v>
      </c>
      <c r="I57" s="90">
        <f t="shared" si="8"/>
        <v>44.335117757672947</v>
      </c>
      <c r="J57" s="89">
        <f t="shared" si="8"/>
        <v>50.984948667753045</v>
      </c>
      <c r="K57" s="89">
        <f t="shared" si="8"/>
        <v>57.505304744995989</v>
      </c>
      <c r="L57" s="90">
        <f t="shared" si="8"/>
        <v>61.656233376279566</v>
      </c>
      <c r="M57" s="89">
        <f t="shared" si="8"/>
        <v>65.410159009999589</v>
      </c>
      <c r="N57" s="89">
        <f t="shared" si="8"/>
        <v>69.956832065838213</v>
      </c>
      <c r="O57" s="89">
        <f t="shared" si="8"/>
        <v>73.166060818225048</v>
      </c>
      <c r="P57" s="89">
        <f t="shared" si="8"/>
        <v>80.076732010819029</v>
      </c>
      <c r="R57" s="89">
        <f t="shared" si="2"/>
        <v>0.69047429428102736</v>
      </c>
      <c r="S57" s="91">
        <v>45</v>
      </c>
      <c r="T57" s="89">
        <f t="shared" si="3"/>
        <v>30.612259145595473</v>
      </c>
      <c r="U57" s="89">
        <f t="shared" si="4"/>
        <v>44.335117757672947</v>
      </c>
      <c r="V57" s="89">
        <f t="shared" si="5"/>
        <v>61.656233376279566</v>
      </c>
      <c r="X57" s="86">
        <f t="shared" si="6"/>
        <v>1995.0802990952825</v>
      </c>
    </row>
    <row r="58" spans="2:24" x14ac:dyDescent="0.25">
      <c r="B58" s="86">
        <v>46</v>
      </c>
      <c r="C58" s="89">
        <f t="shared" si="9"/>
        <v>25.041334351592937</v>
      </c>
      <c r="D58" s="89">
        <f t="shared" si="8"/>
        <v>26.657239120440895</v>
      </c>
      <c r="E58" s="89">
        <f t="shared" si="8"/>
        <v>29.160054074089356</v>
      </c>
      <c r="F58" s="90">
        <f t="shared" si="8"/>
        <v>31.438995266697056</v>
      </c>
      <c r="G58" s="89">
        <f t="shared" si="8"/>
        <v>34.215166514869836</v>
      </c>
      <c r="H58" s="89">
        <f t="shared" si="8"/>
        <v>39.219710009460904</v>
      </c>
      <c r="I58" s="90">
        <f t="shared" si="8"/>
        <v>45.335078355757268</v>
      </c>
      <c r="J58" s="89">
        <f t="shared" si="8"/>
        <v>52.056193867854432</v>
      </c>
      <c r="K58" s="89">
        <f t="shared" si="8"/>
        <v>58.640537375791716</v>
      </c>
      <c r="L58" s="90">
        <f t="shared" si="8"/>
        <v>62.829620411408179</v>
      </c>
      <c r="M58" s="89">
        <f t="shared" si="8"/>
        <v>66.616528774250483</v>
      </c>
      <c r="N58" s="89">
        <f t="shared" si="8"/>
        <v>71.201400248311543</v>
      </c>
      <c r="O58" s="89">
        <f t="shared" si="8"/>
        <v>74.436535372101702</v>
      </c>
      <c r="P58" s="89">
        <f t="shared" si="8"/>
        <v>81.400325658710017</v>
      </c>
      <c r="R58" s="89">
        <f t="shared" si="2"/>
        <v>0.69348055428483679</v>
      </c>
      <c r="S58" s="91">
        <v>46</v>
      </c>
      <c r="T58" s="89">
        <f t="shared" si="3"/>
        <v>31.438995266697056</v>
      </c>
      <c r="U58" s="89">
        <f t="shared" si="4"/>
        <v>45.335078355757268</v>
      </c>
      <c r="V58" s="89">
        <f t="shared" si="5"/>
        <v>62.829620411408179</v>
      </c>
      <c r="X58" s="86">
        <f t="shared" si="6"/>
        <v>2085.4136043648346</v>
      </c>
    </row>
    <row r="59" spans="2:24" x14ac:dyDescent="0.25">
      <c r="B59" s="86">
        <v>47</v>
      </c>
      <c r="C59" s="89">
        <f t="shared" si="9"/>
        <v>25.774557150020492</v>
      </c>
      <c r="D59" s="89">
        <f t="shared" si="8"/>
        <v>27.415846907690124</v>
      </c>
      <c r="E59" s="89">
        <f t="shared" si="8"/>
        <v>29.956195681912099</v>
      </c>
      <c r="F59" s="90">
        <f t="shared" si="8"/>
        <v>32.267621529973397</v>
      </c>
      <c r="G59" s="89">
        <f t="shared" si="8"/>
        <v>35.08143241551474</v>
      </c>
      <c r="H59" s="89">
        <f t="shared" si="8"/>
        <v>40.149189020075326</v>
      </c>
      <c r="I59" s="90">
        <f t="shared" si="8"/>
        <v>46.335040655999876</v>
      </c>
      <c r="J59" s="89">
        <f t="shared" si="8"/>
        <v>53.126657592022568</v>
      </c>
      <c r="K59" s="89">
        <f t="shared" si="8"/>
        <v>59.774288930795954</v>
      </c>
      <c r="L59" s="90">
        <f t="shared" si="8"/>
        <v>64.001111972218027</v>
      </c>
      <c r="M59" s="89">
        <f t="shared" si="8"/>
        <v>67.820646984252477</v>
      </c>
      <c r="N59" s="89">
        <f t="shared" si="8"/>
        <v>72.443307376548248</v>
      </c>
      <c r="O59" s="89">
        <f t="shared" si="8"/>
        <v>75.704073104694757</v>
      </c>
      <c r="P59" s="89">
        <f t="shared" si="8"/>
        <v>82.720422519124014</v>
      </c>
      <c r="R59" s="89">
        <f t="shared" si="2"/>
        <v>0.69639782491040281</v>
      </c>
      <c r="S59" s="91">
        <v>47</v>
      </c>
      <c r="T59" s="89">
        <f t="shared" si="3"/>
        <v>32.267621529973397</v>
      </c>
      <c r="U59" s="89">
        <f t="shared" si="4"/>
        <v>46.335040655999876</v>
      </c>
      <c r="V59" s="89">
        <f t="shared" si="5"/>
        <v>64.001111972218027</v>
      </c>
      <c r="X59" s="86">
        <f t="shared" si="6"/>
        <v>2177.7469108319942</v>
      </c>
    </row>
    <row r="60" spans="2:24" x14ac:dyDescent="0.25">
      <c r="B60" s="86">
        <v>48</v>
      </c>
      <c r="C60" s="89">
        <f t="shared" si="9"/>
        <v>26.510591005737393</v>
      </c>
      <c r="D60" s="89">
        <f t="shared" si="8"/>
        <v>28.177008953028867</v>
      </c>
      <c r="E60" s="89">
        <f t="shared" si="8"/>
        <v>30.754505709372928</v>
      </c>
      <c r="F60" s="90">
        <f t="shared" si="8"/>
        <v>33.098077429486295</v>
      </c>
      <c r="G60" s="89">
        <f t="shared" si="8"/>
        <v>35.949131024703327</v>
      </c>
      <c r="H60" s="89">
        <f t="shared" si="8"/>
        <v>41.079426771935317</v>
      </c>
      <c r="I60" s="90">
        <f t="shared" si="8"/>
        <v>47.335004550452631</v>
      </c>
      <c r="J60" s="89">
        <f t="shared" si="8"/>
        <v>54.196364992266219</v>
      </c>
      <c r="K60" s="89">
        <f t="shared" si="8"/>
        <v>60.906607027448366</v>
      </c>
      <c r="L60" s="90">
        <f t="shared" si="8"/>
        <v>65.170768903569837</v>
      </c>
      <c r="M60" s="89">
        <f t="shared" si="8"/>
        <v>69.022585789666081</v>
      </c>
      <c r="N60" s="89">
        <f t="shared" si="8"/>
        <v>73.682638520105755</v>
      </c>
      <c r="O60" s="89">
        <f t="shared" si="8"/>
        <v>76.968767732044569</v>
      </c>
      <c r="P60" s="89">
        <f t="shared" si="8"/>
        <v>84.037133717223469</v>
      </c>
      <c r="R60" s="89">
        <f t="shared" si="2"/>
        <v>0.6992304689483716</v>
      </c>
      <c r="S60" s="91">
        <v>48</v>
      </c>
      <c r="T60" s="89">
        <f t="shared" si="3"/>
        <v>33.098077429486295</v>
      </c>
      <c r="U60" s="89">
        <f t="shared" si="4"/>
        <v>47.335004550452631</v>
      </c>
      <c r="V60" s="89">
        <f t="shared" si="5"/>
        <v>65.170768903569837</v>
      </c>
      <c r="X60" s="86">
        <f t="shared" si="6"/>
        <v>2272.0802184217264</v>
      </c>
    </row>
    <row r="61" spans="2:24" x14ac:dyDescent="0.25">
      <c r="B61" s="86">
        <v>49</v>
      </c>
      <c r="C61" s="89">
        <f t="shared" si="9"/>
        <v>27.249349069569636</v>
      </c>
      <c r="D61" s="89">
        <f t="shared" si="8"/>
        <v>28.94064597338151</v>
      </c>
      <c r="E61" s="89">
        <f t="shared" si="8"/>
        <v>31.554916462667144</v>
      </c>
      <c r="F61" s="90">
        <f t="shared" si="8"/>
        <v>33.930305618527832</v>
      </c>
      <c r="G61" s="89">
        <f t="shared" si="8"/>
        <v>36.818217270172831</v>
      </c>
      <c r="H61" s="89">
        <f t="shared" si="8"/>
        <v>42.010399283544409</v>
      </c>
      <c r="I61" s="90">
        <f t="shared" si="8"/>
        <v>48.334969940104763</v>
      </c>
      <c r="J61" s="89">
        <f t="shared" si="8"/>
        <v>55.26533990021462</v>
      </c>
      <c r="K61" s="89">
        <f t="shared" si="8"/>
        <v>62.037536785309662</v>
      </c>
      <c r="L61" s="90">
        <f t="shared" si="8"/>
        <v>66.338648862968824</v>
      </c>
      <c r="M61" s="89">
        <f t="shared" si="8"/>
        <v>70.22241356643454</v>
      </c>
      <c r="N61" s="89">
        <f t="shared" si="8"/>
        <v>74.919474308478186</v>
      </c>
      <c r="O61" s="89">
        <f t="shared" si="8"/>
        <v>78.230708086689944</v>
      </c>
      <c r="P61" s="89">
        <f t="shared" si="8"/>
        <v>85.350564608593089</v>
      </c>
      <c r="R61" s="89">
        <f t="shared" si="2"/>
        <v>0.70198255343022342</v>
      </c>
      <c r="S61" s="91">
        <v>49</v>
      </c>
      <c r="T61" s="89">
        <f t="shared" si="3"/>
        <v>33.930305618527832</v>
      </c>
      <c r="U61" s="89">
        <f t="shared" si="4"/>
        <v>48.334969940104763</v>
      </c>
      <c r="V61" s="89">
        <f t="shared" si="5"/>
        <v>66.338648862968824</v>
      </c>
      <c r="X61" s="86">
        <f t="shared" si="6"/>
        <v>2368.4135270651332</v>
      </c>
    </row>
    <row r="62" spans="2:24" x14ac:dyDescent="0.25">
      <c r="B62" s="86">
        <v>50</v>
      </c>
      <c r="C62" s="89">
        <f t="shared" si="9"/>
        <v>27.990748866373302</v>
      </c>
      <c r="D62" s="89">
        <f t="shared" si="8"/>
        <v>29.706682698841298</v>
      </c>
      <c r="E62" s="89">
        <f t="shared" si="8"/>
        <v>32.357363695658648</v>
      </c>
      <c r="F62" s="90">
        <f t="shared" si="8"/>
        <v>34.764251683501755</v>
      </c>
      <c r="G62" s="89">
        <f t="shared" si="8"/>
        <v>37.68864839397849</v>
      </c>
      <c r="H62" s="89">
        <f t="shared" si="8"/>
        <v>42.942083810905935</v>
      </c>
      <c r="I62" s="90">
        <f t="shared" si="8"/>
        <v>49.334936733976832</v>
      </c>
      <c r="J62" s="89">
        <f t="shared" si="8"/>
        <v>56.33360492213238</v>
      </c>
      <c r="K62" s="89">
        <f t="shared" si="8"/>
        <v>63.167121005726315</v>
      </c>
      <c r="L62" s="90">
        <f t="shared" si="8"/>
        <v>67.504806549541186</v>
      </c>
      <c r="M62" s="89">
        <f t="shared" si="8"/>
        <v>71.420195187506408</v>
      </c>
      <c r="N62" s="89">
        <f t="shared" si="8"/>
        <v>76.15389124901273</v>
      </c>
      <c r="O62" s="89">
        <f t="shared" si="8"/>
        <v>79.489978466828902</v>
      </c>
      <c r="P62" s="89">
        <f t="shared" si="8"/>
        <v>86.660815190403127</v>
      </c>
      <c r="R62" s="89">
        <f t="shared" si="2"/>
        <v>0.7046578750259086</v>
      </c>
      <c r="S62" s="91">
        <v>50</v>
      </c>
      <c r="T62" s="89">
        <f t="shared" si="3"/>
        <v>34.764251683501755</v>
      </c>
      <c r="U62" s="89">
        <f t="shared" si="4"/>
        <v>49.334936733976832</v>
      </c>
      <c r="V62" s="89">
        <f t="shared" si="5"/>
        <v>67.504806549541186</v>
      </c>
      <c r="X62" s="86">
        <f t="shared" si="6"/>
        <v>2466.7468366988414</v>
      </c>
    </row>
    <row r="63" spans="2:24" x14ac:dyDescent="0.25">
      <c r="B63" s="86">
        <v>51</v>
      </c>
      <c r="C63" s="89">
        <f t="shared" si="9"/>
        <v>28.734711993211963</v>
      </c>
      <c r="D63" s="89">
        <f t="shared" si="9"/>
        <v>30.475047594247524</v>
      </c>
      <c r="E63" s="89">
        <f t="shared" si="9"/>
        <v>33.161786369126929</v>
      </c>
      <c r="F63" s="90">
        <f t="shared" si="9"/>
        <v>35.5998639381883</v>
      </c>
      <c r="G63" s="89">
        <f t="shared" si="9"/>
        <v>38.560383789501401</v>
      </c>
      <c r="H63" s="89">
        <f t="shared" si="9"/>
        <v>43.874458759915782</v>
      </c>
      <c r="I63" s="90">
        <f t="shared" si="9"/>
        <v>50.334904848322715</v>
      </c>
      <c r="J63" s="89">
        <f t="shared" si="9"/>
        <v>57.401181525323082</v>
      </c>
      <c r="K63" s="89">
        <f t="shared" si="9"/>
        <v>64.295400335215845</v>
      </c>
      <c r="L63" s="90">
        <f t="shared" si="9"/>
        <v>68.669293912285795</v>
      </c>
      <c r="M63" s="89">
        <f t="shared" si="9"/>
        <v>72.61599226908578</v>
      </c>
      <c r="N63" s="89">
        <f t="shared" si="9"/>
        <v>77.385962016137256</v>
      </c>
      <c r="O63" s="89">
        <f t="shared" si="9"/>
        <v>80.746658954013228</v>
      </c>
      <c r="P63" s="89">
        <f t="shared" si="9"/>
        <v>87.967980475628636</v>
      </c>
      <c r="R63" s="89">
        <f t="shared" si="2"/>
        <v>0.70725998281835589</v>
      </c>
      <c r="S63" s="91">
        <v>51</v>
      </c>
      <c r="T63" s="89">
        <f t="shared" si="3"/>
        <v>35.5998639381883</v>
      </c>
      <c r="U63" s="89">
        <f t="shared" si="4"/>
        <v>50.334904848322715</v>
      </c>
      <c r="V63" s="89">
        <f t="shared" si="5"/>
        <v>68.669293912285795</v>
      </c>
      <c r="X63" s="86">
        <f t="shared" si="6"/>
        <v>2567.0801472644584</v>
      </c>
    </row>
    <row r="64" spans="2:24" x14ac:dyDescent="0.25">
      <c r="B64" s="86">
        <v>52</v>
      </c>
      <c r="C64" s="89">
        <f t="shared" ref="C64:P82" si="10">CHIINV(C$12,$B64)</f>
        <v>29.481163843753311</v>
      </c>
      <c r="D64" s="89">
        <f t="shared" si="10"/>
        <v>31.24567260508816</v>
      </c>
      <c r="E64" s="89">
        <f t="shared" si="10"/>
        <v>33.968126431192687</v>
      </c>
      <c r="F64" s="90">
        <f t="shared" si="10"/>
        <v>36.437093236191636</v>
      </c>
      <c r="G64" s="89">
        <f t="shared" si="10"/>
        <v>39.433384852921947</v>
      </c>
      <c r="H64" s="89">
        <f t="shared" si="10"/>
        <v>44.807503606572091</v>
      </c>
      <c r="I64" s="90">
        <f t="shared" si="10"/>
        <v>51.334874205924834</v>
      </c>
      <c r="J64" s="89">
        <f t="shared" si="10"/>
        <v>58.468090116856345</v>
      </c>
      <c r="K64" s="89">
        <f t="shared" si="10"/>
        <v>65.422413414339772</v>
      </c>
      <c r="L64" s="90">
        <f t="shared" si="10"/>
        <v>69.83216033984813</v>
      </c>
      <c r="M64" s="89">
        <f t="shared" si="10"/>
        <v>73.809863395060745</v>
      </c>
      <c r="N64" s="89">
        <f t="shared" si="10"/>
        <v>78.615755715002479</v>
      </c>
      <c r="O64" s="89">
        <f t="shared" si="10"/>
        <v>82.000825702775359</v>
      </c>
      <c r="P64" s="89">
        <f t="shared" si="10"/>
        <v>89.272150834304469</v>
      </c>
      <c r="R64" s="89">
        <f t="shared" si="2"/>
        <v>0.70979219876974464</v>
      </c>
      <c r="S64" s="91">
        <v>52</v>
      </c>
      <c r="T64" s="89">
        <f t="shared" si="3"/>
        <v>36.437093236191636</v>
      </c>
      <c r="U64" s="89">
        <f t="shared" si="4"/>
        <v>51.334874205924834</v>
      </c>
      <c r="V64" s="89">
        <f t="shared" si="5"/>
        <v>69.83216033984813</v>
      </c>
      <c r="X64" s="86">
        <f t="shared" si="6"/>
        <v>2669.4134587080912</v>
      </c>
    </row>
    <row r="65" spans="2:24" x14ac:dyDescent="0.25">
      <c r="B65" s="86">
        <v>53</v>
      </c>
      <c r="C65" s="89">
        <f t="shared" si="10"/>
        <v>30.230033356157477</v>
      </c>
      <c r="D65" s="89">
        <f t="shared" si="10"/>
        <v>32.018492925182919</v>
      </c>
      <c r="E65" s="89">
        <f t="shared" si="10"/>
        <v>34.77632861669062</v>
      </c>
      <c r="F65" s="90">
        <f t="shared" si="10"/>
        <v>37.275892799644303</v>
      </c>
      <c r="G65" s="89">
        <f t="shared" si="10"/>
        <v>40.307614847620378</v>
      </c>
      <c r="H65" s="89">
        <f t="shared" si="10"/>
        <v>45.741198824165956</v>
      </c>
      <c r="I65" s="90">
        <f t="shared" si="10"/>
        <v>52.334844735470277</v>
      </c>
      <c r="J65" s="89">
        <f t="shared" si="10"/>
        <v>59.534350115435643</v>
      </c>
      <c r="K65" s="89">
        <f t="shared" si="10"/>
        <v>66.548197013609254</v>
      </c>
      <c r="L65" s="90">
        <f t="shared" si="10"/>
        <v>70.993452833782285</v>
      </c>
      <c r="M65" s="89">
        <f t="shared" si="10"/>
        <v>75.001864321928622</v>
      </c>
      <c r="N65" s="89">
        <f t="shared" si="10"/>
        <v>79.843338122251481</v>
      </c>
      <c r="O65" s="89">
        <f t="shared" si="10"/>
        <v>83.25255120516114</v>
      </c>
      <c r="P65" s="89">
        <f t="shared" si="10"/>
        <v>90.57341230529866</v>
      </c>
      <c r="R65" s="89">
        <f t="shared" si="2"/>
        <v>0.71225763615154714</v>
      </c>
      <c r="S65" s="91">
        <v>53</v>
      </c>
      <c r="T65" s="89">
        <f t="shared" si="3"/>
        <v>37.275892799644303</v>
      </c>
      <c r="U65" s="89">
        <f t="shared" si="4"/>
        <v>52.334844735470277</v>
      </c>
      <c r="V65" s="89">
        <f t="shared" si="5"/>
        <v>70.993452833782285</v>
      </c>
      <c r="X65" s="86">
        <f t="shared" si="6"/>
        <v>2773.7467709799248</v>
      </c>
    </row>
    <row r="66" spans="2:24" x14ac:dyDescent="0.25">
      <c r="B66" s="86">
        <v>54</v>
      </c>
      <c r="C66" s="89">
        <f t="shared" si="10"/>
        <v>30.981252782058863</v>
      </c>
      <c r="D66" s="89">
        <f t="shared" si="10"/>
        <v>32.793446783909005</v>
      </c>
      <c r="E66" s="89">
        <f t="shared" si="10"/>
        <v>35.58634026352955</v>
      </c>
      <c r="F66" s="90">
        <f t="shared" si="10"/>
        <v>38.116218062479405</v>
      </c>
      <c r="G66" s="89">
        <f t="shared" si="10"/>
        <v>41.183038780155478</v>
      </c>
      <c r="H66" s="89">
        <f t="shared" si="10"/>
        <v>46.675525816720722</v>
      </c>
      <c r="I66" s="90">
        <f t="shared" si="10"/>
        <v>53.334816370997032</v>
      </c>
      <c r="J66" s="89">
        <f t="shared" si="10"/>
        <v>60.59998001712318</v>
      </c>
      <c r="K66" s="89">
        <f t="shared" si="10"/>
        <v>67.672786157777495</v>
      </c>
      <c r="L66" s="90">
        <f t="shared" si="10"/>
        <v>72.153216167023103</v>
      </c>
      <c r="M66" s="89">
        <f t="shared" si="10"/>
        <v>76.192048166250046</v>
      </c>
      <c r="N66" s="89">
        <f t="shared" si="10"/>
        <v>81.068771906297101</v>
      </c>
      <c r="O66" s="89">
        <f t="shared" si="10"/>
        <v>84.50190453277645</v>
      </c>
      <c r="P66" s="89">
        <f t="shared" si="10"/>
        <v>91.871846881660076</v>
      </c>
      <c r="R66" s="89">
        <f t="shared" si="2"/>
        <v>0.71465921617397077</v>
      </c>
      <c r="S66" s="91">
        <v>54</v>
      </c>
      <c r="T66" s="89">
        <f t="shared" si="3"/>
        <v>38.116218062479405</v>
      </c>
      <c r="U66" s="89">
        <f t="shared" si="4"/>
        <v>53.334816370997032</v>
      </c>
      <c r="V66" s="89">
        <f t="shared" si="5"/>
        <v>72.153216167023103</v>
      </c>
      <c r="X66" s="86">
        <f t="shared" si="6"/>
        <v>2880.0800840338397</v>
      </c>
    </row>
    <row r="67" spans="2:24" x14ac:dyDescent="0.25">
      <c r="B67" s="86">
        <v>55</v>
      </c>
      <c r="C67" s="89">
        <f t="shared" si="10"/>
        <v>31.734757474526582</v>
      </c>
      <c r="D67" s="89">
        <f t="shared" si="10"/>
        <v>33.570475251000239</v>
      </c>
      <c r="E67" s="89">
        <f t="shared" si="10"/>
        <v>36.398111144315301</v>
      </c>
      <c r="F67" s="90">
        <f t="shared" si="10"/>
        <v>38.958026526785098</v>
      </c>
      <c r="G67" s="89">
        <f t="shared" si="10"/>
        <v>42.05962328663589</v>
      </c>
      <c r="H67" s="89">
        <f t="shared" si="10"/>
        <v>47.610466858036737</v>
      </c>
      <c r="I67" s="90">
        <f t="shared" si="10"/>
        <v>54.334789051401437</v>
      </c>
      <c r="J67" s="89">
        <f t="shared" si="10"/>
        <v>61.664997455551649</v>
      </c>
      <c r="K67" s="89">
        <f t="shared" si="10"/>
        <v>68.796214239709315</v>
      </c>
      <c r="L67" s="90">
        <f t="shared" si="10"/>
        <v>73.311493029083252</v>
      </c>
      <c r="M67" s="89">
        <f t="shared" si="10"/>
        <v>77.380465576419155</v>
      </c>
      <c r="N67" s="89">
        <f t="shared" si="10"/>
        <v>82.292116829199671</v>
      </c>
      <c r="O67" s="89">
        <f t="shared" si="10"/>
        <v>85.748951558641025</v>
      </c>
      <c r="P67" s="89">
        <f t="shared" si="10"/>
        <v>93.16753277222854</v>
      </c>
      <c r="R67" s="89">
        <f t="shared" si="2"/>
        <v>0.71699968301947914</v>
      </c>
      <c r="S67" s="91">
        <v>55</v>
      </c>
      <c r="T67" s="89">
        <f t="shared" si="3"/>
        <v>38.958026526785098</v>
      </c>
      <c r="U67" s="89">
        <f t="shared" si="4"/>
        <v>54.334789051401437</v>
      </c>
      <c r="V67" s="89">
        <f t="shared" si="5"/>
        <v>73.311493029083252</v>
      </c>
      <c r="X67" s="86">
        <f t="shared" si="6"/>
        <v>2988.4133978270788</v>
      </c>
    </row>
    <row r="68" spans="2:24" x14ac:dyDescent="0.25">
      <c r="B68" s="86">
        <v>56</v>
      </c>
      <c r="C68" s="89">
        <f t="shared" si="10"/>
        <v>32.490485693134652</v>
      </c>
      <c r="D68" s="89">
        <f t="shared" si="10"/>
        <v>34.34952205717817</v>
      </c>
      <c r="E68" s="89">
        <f t="shared" si="10"/>
        <v>37.211593311715063</v>
      </c>
      <c r="F68" s="90">
        <f t="shared" si="10"/>
        <v>39.80127763093126</v>
      </c>
      <c r="G68" s="89">
        <f t="shared" si="10"/>
        <v>42.937336528439218</v>
      </c>
      <c r="H68" s="89">
        <f t="shared" si="10"/>
        <v>48.546005035775003</v>
      </c>
      <c r="I68" s="90">
        <f t="shared" si="10"/>
        <v>55.334762719999034</v>
      </c>
      <c r="J68" s="89">
        <f t="shared" si="10"/>
        <v>62.729419257177369</v>
      </c>
      <c r="K68" s="89">
        <f t="shared" si="10"/>
        <v>69.91851312487637</v>
      </c>
      <c r="L68" s="90">
        <f t="shared" si="10"/>
        <v>74.468324159309361</v>
      </c>
      <c r="M68" s="89">
        <f t="shared" si="10"/>
        <v>78.567164890324193</v>
      </c>
      <c r="N68" s="89">
        <f t="shared" si="10"/>
        <v>83.513429931989407</v>
      </c>
      <c r="O68" s="89">
        <f t="shared" si="10"/>
        <v>86.993755160871743</v>
      </c>
      <c r="P68" s="89">
        <f t="shared" si="10"/>
        <v>94.460544641878059</v>
      </c>
      <c r="R68" s="89">
        <f t="shared" si="2"/>
        <v>0.71928161745864538</v>
      </c>
      <c r="S68" s="91">
        <v>56</v>
      </c>
      <c r="T68" s="89">
        <f t="shared" si="3"/>
        <v>39.80127763093126</v>
      </c>
      <c r="U68" s="89">
        <f t="shared" si="4"/>
        <v>55.334762719999034</v>
      </c>
      <c r="V68" s="89">
        <f t="shared" si="5"/>
        <v>74.468324159309361</v>
      </c>
      <c r="X68" s="86">
        <f t="shared" si="6"/>
        <v>3098.7467123199458</v>
      </c>
    </row>
    <row r="69" spans="2:24" x14ac:dyDescent="0.25">
      <c r="B69" s="86">
        <v>57</v>
      </c>
      <c r="C69" s="89">
        <f t="shared" si="10"/>
        <v>33.248378424486411</v>
      </c>
      <c r="D69" s="89">
        <f t="shared" si="10"/>
        <v>35.130533429075527</v>
      </c>
      <c r="E69" s="89">
        <f t="shared" si="10"/>
        <v>38.026740956217445</v>
      </c>
      <c r="F69" s="90">
        <f t="shared" si="10"/>
        <v>40.645932628310639</v>
      </c>
      <c r="G69" s="89">
        <f t="shared" si="10"/>
        <v>43.816148096355931</v>
      </c>
      <c r="H69" s="89">
        <f t="shared" si="10"/>
        <v>49.482124200079909</v>
      </c>
      <c r="I69" s="90">
        <f t="shared" si="10"/>
        <v>56.334737324132178</v>
      </c>
      <c r="J69" s="89">
        <f t="shared" si="10"/>
        <v>63.793261492065071</v>
      </c>
      <c r="K69" s="89">
        <f t="shared" si="10"/>
        <v>71.039713247404322</v>
      </c>
      <c r="L69" s="90">
        <f t="shared" si="10"/>
        <v>75.623748469376068</v>
      </c>
      <c r="M69" s="89">
        <f t="shared" si="10"/>
        <v>79.752192280290373</v>
      </c>
      <c r="N69" s="89">
        <f t="shared" si="10"/>
        <v>84.732765705063827</v>
      </c>
      <c r="O69" s="89">
        <f t="shared" si="10"/>
        <v>88.236375409982116</v>
      </c>
      <c r="P69" s="89">
        <f t="shared" si="10"/>
        <v>95.750953832489458</v>
      </c>
      <c r="R69" s="89">
        <f t="shared" si="2"/>
        <v>0.72150744920397625</v>
      </c>
      <c r="S69" s="91">
        <v>57</v>
      </c>
      <c r="T69" s="89">
        <f t="shared" si="3"/>
        <v>40.645932628310639</v>
      </c>
      <c r="U69" s="89">
        <f t="shared" si="4"/>
        <v>56.334737324132178</v>
      </c>
      <c r="V69" s="89">
        <f t="shared" si="5"/>
        <v>75.623748469376068</v>
      </c>
      <c r="X69" s="86">
        <f t="shared" si="6"/>
        <v>3211.0800274755343</v>
      </c>
    </row>
    <row r="70" spans="2:24" x14ac:dyDescent="0.25">
      <c r="B70" s="86">
        <v>58</v>
      </c>
      <c r="C70" s="89">
        <f t="shared" si="10"/>
        <v>34.008379216723625</v>
      </c>
      <c r="D70" s="89">
        <f t="shared" si="10"/>
        <v>35.913457937085226</v>
      </c>
      <c r="E70" s="89">
        <f t="shared" si="10"/>
        <v>38.843510275095866</v>
      </c>
      <c r="F70" s="90">
        <f t="shared" si="10"/>
        <v>41.491954475668962</v>
      </c>
      <c r="G70" s="89">
        <f t="shared" si="10"/>
        <v>44.696028922341078</v>
      </c>
      <c r="H70" s="89">
        <f t="shared" si="10"/>
        <v>50.418808916298481</v>
      </c>
      <c r="I70" s="90">
        <f t="shared" si="10"/>
        <v>57.334712814818772</v>
      </c>
      <c r="J70" s="89">
        <f t="shared" si="10"/>
        <v>64.856539520637995</v>
      </c>
      <c r="K70" s="89">
        <f t="shared" si="10"/>
        <v>72.159843698492153</v>
      </c>
      <c r="L70" s="90">
        <f t="shared" si="10"/>
        <v>76.777803156061495</v>
      </c>
      <c r="M70" s="89">
        <f t="shared" si="10"/>
        <v>80.935591886536386</v>
      </c>
      <c r="N70" s="89">
        <f t="shared" si="10"/>
        <v>85.950176245103478</v>
      </c>
      <c r="O70" s="89">
        <f t="shared" si="10"/>
        <v>89.476869741381051</v>
      </c>
      <c r="P70" s="89">
        <f t="shared" si="10"/>
        <v>97.038828566508798</v>
      </c>
      <c r="R70" s="89">
        <f t="shared" si="2"/>
        <v>0.72367946813792916</v>
      </c>
      <c r="S70" s="91">
        <v>58</v>
      </c>
      <c r="T70" s="89">
        <f t="shared" si="3"/>
        <v>41.491954475668962</v>
      </c>
      <c r="U70" s="89">
        <f t="shared" si="4"/>
        <v>57.334712814818772</v>
      </c>
      <c r="V70" s="89">
        <f t="shared" si="5"/>
        <v>76.777803156061495</v>
      </c>
      <c r="X70" s="86">
        <f t="shared" si="6"/>
        <v>3325.413343259489</v>
      </c>
    </row>
    <row r="71" spans="2:24" x14ac:dyDescent="0.25">
      <c r="B71" s="86">
        <v>59</v>
      </c>
      <c r="C71" s="89">
        <f t="shared" si="10"/>
        <v>34.770434026711989</v>
      </c>
      <c r="D71" s="89">
        <f t="shared" si="10"/>
        <v>36.698246354920606</v>
      </c>
      <c r="E71" s="89">
        <f t="shared" si="10"/>
        <v>39.661859351515659</v>
      </c>
      <c r="F71" s="90">
        <f t="shared" si="10"/>
        <v>42.339307730113468</v>
      </c>
      <c r="G71" s="89">
        <f t="shared" si="10"/>
        <v>45.576951198148585</v>
      </c>
      <c r="H71" s="89">
        <f t="shared" si="10"/>
        <v>51.356044421403993</v>
      </c>
      <c r="I71" s="90">
        <f t="shared" si="10"/>
        <v>58.334689146437071</v>
      </c>
      <c r="J71" s="89">
        <f t="shared" si="10"/>
        <v>65.919268036778149</v>
      </c>
      <c r="K71" s="89">
        <f t="shared" si="10"/>
        <v>73.27893230793083</v>
      </c>
      <c r="L71" s="90">
        <f t="shared" si="10"/>
        <v>77.930523805230422</v>
      </c>
      <c r="M71" s="89">
        <f t="shared" si="10"/>
        <v>82.117405940238299</v>
      </c>
      <c r="N71" s="89">
        <f t="shared" si="10"/>
        <v>87.165711399787568</v>
      </c>
      <c r="O71" s="89">
        <f t="shared" si="10"/>
        <v>90.71529311447577</v>
      </c>
      <c r="P71" s="89">
        <f t="shared" si="10"/>
        <v>98.324234134741616</v>
      </c>
      <c r="R71" s="89">
        <f t="shared" si="2"/>
        <v>0.72579983453463626</v>
      </c>
      <c r="S71" s="91">
        <v>59</v>
      </c>
      <c r="T71" s="89">
        <f t="shared" si="3"/>
        <v>42.339307730113468</v>
      </c>
      <c r="U71" s="89">
        <f t="shared" si="4"/>
        <v>58.334689146437071</v>
      </c>
      <c r="V71" s="89">
        <f t="shared" si="5"/>
        <v>77.930523805230422</v>
      </c>
      <c r="X71" s="86">
        <f t="shared" si="6"/>
        <v>3441.7466596397871</v>
      </c>
    </row>
    <row r="72" spans="2:24" x14ac:dyDescent="0.25">
      <c r="B72" s="86">
        <v>60</v>
      </c>
      <c r="C72" s="89">
        <f t="shared" si="10"/>
        <v>35.534491078738533</v>
      </c>
      <c r="D72" s="89">
        <f t="shared" si="10"/>
        <v>37.484851529803777</v>
      </c>
      <c r="E72" s="89">
        <f t="shared" si="10"/>
        <v>40.481748042841836</v>
      </c>
      <c r="F72" s="90">
        <f t="shared" si="10"/>
        <v>43.187958453989765</v>
      </c>
      <c r="G72" s="89">
        <f t="shared" si="10"/>
        <v>46.458888300203441</v>
      </c>
      <c r="H72" s="89">
        <f t="shared" si="10"/>
        <v>52.293816583775111</v>
      </c>
      <c r="I72" s="90">
        <f t="shared" si="10"/>
        <v>59.334666276442462</v>
      </c>
      <c r="J72" s="89">
        <f t="shared" si="10"/>
        <v>66.98146110761914</v>
      </c>
      <c r="K72" s="89">
        <f t="shared" si="10"/>
        <v>74.397005719368593</v>
      </c>
      <c r="L72" s="90">
        <f t="shared" si="10"/>
        <v>79.081944487848716</v>
      </c>
      <c r="M72" s="89">
        <f t="shared" si="10"/>
        <v>83.297674877173193</v>
      </c>
      <c r="N72" s="89">
        <f t="shared" si="10"/>
        <v>88.379418901449327</v>
      </c>
      <c r="O72" s="89">
        <f t="shared" si="10"/>
        <v>91.951698159629714</v>
      </c>
      <c r="P72" s="89">
        <f t="shared" si="10"/>
        <v>99.607233069849386</v>
      </c>
      <c r="R72" s="89">
        <f t="shared" si="2"/>
        <v>0.72787058838041541</v>
      </c>
      <c r="S72" s="91">
        <v>60</v>
      </c>
      <c r="T72" s="89">
        <f t="shared" si="3"/>
        <v>43.187958453989765</v>
      </c>
      <c r="U72" s="89">
        <f t="shared" si="4"/>
        <v>59.334666276442462</v>
      </c>
      <c r="V72" s="89">
        <f t="shared" si="5"/>
        <v>79.081944487848716</v>
      </c>
      <c r="X72" s="86">
        <f t="shared" si="6"/>
        <v>3560.0799765865477</v>
      </c>
    </row>
    <row r="73" spans="2:24" x14ac:dyDescent="0.25">
      <c r="B73" s="86">
        <v>61</v>
      </c>
      <c r="C73" s="89">
        <f t="shared" si="10"/>
        <v>36.300500733678568</v>
      </c>
      <c r="D73" s="89">
        <f t="shared" si="10"/>
        <v>38.273228262316948</v>
      </c>
      <c r="E73" s="89">
        <f t="shared" si="10"/>
        <v>41.303137877306483</v>
      </c>
      <c r="F73" s="90">
        <f t="shared" si="10"/>
        <v>44.037874126904725</v>
      </c>
      <c r="G73" s="89">
        <f t="shared" si="10"/>
        <v>47.341814720137002</v>
      </c>
      <c r="H73" s="89">
        <f t="shared" si="10"/>
        <v>53.232111866020162</v>
      </c>
      <c r="I73" s="90">
        <f t="shared" si="10"/>
        <v>60.334644165112309</v>
      </c>
      <c r="J73" s="89">
        <f t="shared" si="10"/>
        <v>68.043132210336381</v>
      </c>
      <c r="K73" s="89">
        <f t="shared" si="10"/>
        <v>75.514089459899182</v>
      </c>
      <c r="L73" s="90">
        <f t="shared" si="10"/>
        <v>80.23209784876272</v>
      </c>
      <c r="M73" s="89">
        <f t="shared" si="10"/>
        <v>84.476437442809072</v>
      </c>
      <c r="N73" s="89">
        <f t="shared" si="10"/>
        <v>89.59134449068705</v>
      </c>
      <c r="O73" s="89">
        <f t="shared" si="10"/>
        <v>93.186135314089086</v>
      </c>
      <c r="P73" s="89">
        <f t="shared" si="10"/>
        <v>100.88788530685828</v>
      </c>
      <c r="R73" s="89">
        <f t="shared" si="2"/>
        <v>0.72989365788568006</v>
      </c>
      <c r="S73" s="91">
        <v>61</v>
      </c>
      <c r="T73" s="89">
        <f t="shared" si="3"/>
        <v>44.037874126904725</v>
      </c>
      <c r="U73" s="89">
        <f t="shared" si="4"/>
        <v>60.334644165112309</v>
      </c>
      <c r="V73" s="89">
        <f t="shared" si="5"/>
        <v>80.23209784876272</v>
      </c>
      <c r="X73" s="86">
        <f t="shared" si="6"/>
        <v>3680.4132940718509</v>
      </c>
    </row>
    <row r="74" spans="2:24" x14ac:dyDescent="0.25">
      <c r="B74" s="86">
        <v>62</v>
      </c>
      <c r="C74" s="89">
        <f t="shared" si="10"/>
        <v>37.068415367700908</v>
      </c>
      <c r="D74" s="89">
        <f t="shared" si="10"/>
        <v>39.063333195051818</v>
      </c>
      <c r="E74" s="89">
        <f t="shared" si="10"/>
        <v>42.125991958283699</v>
      </c>
      <c r="F74" s="90">
        <f t="shared" si="10"/>
        <v>44.889023564250238</v>
      </c>
      <c r="G74" s="89">
        <f t="shared" si="10"/>
        <v>48.225706000472357</v>
      </c>
      <c r="H74" s="89">
        <f t="shared" si="10"/>
        <v>54.170917290569314</v>
      </c>
      <c r="I74" s="90">
        <f t="shared" si="10"/>
        <v>61.334622775315836</v>
      </c>
      <c r="J74" s="89">
        <f t="shared" si="10"/>
        <v>69.104294266206992</v>
      </c>
      <c r="K74" s="89">
        <f t="shared" si="10"/>
        <v>76.630208004487741</v>
      </c>
      <c r="L74" s="90">
        <f t="shared" si="10"/>
        <v>81.381015188899099</v>
      </c>
      <c r="M74" s="89">
        <f t="shared" si="10"/>
        <v>85.653730789615338</v>
      </c>
      <c r="N74" s="89">
        <f t="shared" si="10"/>
        <v>90.801532030838686</v>
      </c>
      <c r="O74" s="89">
        <f t="shared" si="10"/>
        <v>94.418652947874463</v>
      </c>
      <c r="P74" s="89">
        <f t="shared" si="10"/>
        <v>102.16624833184875</v>
      </c>
      <c r="R74" s="89">
        <f t="shared" si="2"/>
        <v>0.73187086727002515</v>
      </c>
      <c r="S74" s="91">
        <v>62</v>
      </c>
      <c r="T74" s="89">
        <f t="shared" si="3"/>
        <v>44.889023564250238</v>
      </c>
      <c r="U74" s="89">
        <f t="shared" si="4"/>
        <v>61.334622775315836</v>
      </c>
      <c r="V74" s="89">
        <f t="shared" si="5"/>
        <v>81.381015188899099</v>
      </c>
      <c r="X74" s="86">
        <f t="shared" si="6"/>
        <v>3802.7466120695817</v>
      </c>
    </row>
    <row r="75" spans="2:24" x14ac:dyDescent="0.25">
      <c r="B75" s="86">
        <v>63</v>
      </c>
      <c r="C75" s="89">
        <f t="shared" si="10"/>
        <v>37.83818925967622</v>
      </c>
      <c r="D75" s="89">
        <f t="shared" si="10"/>
        <v>39.85512470928338</v>
      </c>
      <c r="E75" s="89">
        <f t="shared" si="10"/>
        <v>42.950274875499026</v>
      </c>
      <c r="F75" s="90">
        <f t="shared" si="10"/>
        <v>45.741376841650343</v>
      </c>
      <c r="G75" s="89">
        <f t="shared" si="10"/>
        <v>49.110538675000782</v>
      </c>
      <c r="H75" s="89">
        <f t="shared" si="10"/>
        <v>55.110220407786926</v>
      </c>
      <c r="I75" s="90">
        <f t="shared" si="10"/>
        <v>62.334602072306147</v>
      </c>
      <c r="J75" s="89">
        <f t="shared" si="10"/>
        <v>70.164959672183201</v>
      </c>
      <c r="K75" s="89">
        <f t="shared" si="10"/>
        <v>77.745384835694892</v>
      </c>
      <c r="L75" s="90">
        <f t="shared" si="10"/>
        <v>82.528726541471798</v>
      </c>
      <c r="M75" s="89">
        <f t="shared" si="10"/>
        <v>86.829590567286118</v>
      </c>
      <c r="N75" s="89">
        <f t="shared" si="10"/>
        <v>92.010023614131995</v>
      </c>
      <c r="O75" s="89">
        <f t="shared" si="10"/>
        <v>95.64929748052846</v>
      </c>
      <c r="P75" s="89">
        <f t="shared" si="10"/>
        <v>103.44237731987312</v>
      </c>
      <c r="R75" s="89">
        <f t="shared" si="2"/>
        <v>0.73380394389286074</v>
      </c>
      <c r="S75" s="91">
        <v>63</v>
      </c>
      <c r="T75" s="89">
        <f t="shared" si="3"/>
        <v>45.741376841650343</v>
      </c>
      <c r="U75" s="89">
        <f t="shared" si="4"/>
        <v>62.334602072306147</v>
      </c>
      <c r="V75" s="89">
        <f t="shared" si="5"/>
        <v>82.528726541471798</v>
      </c>
      <c r="X75" s="86">
        <f t="shared" si="6"/>
        <v>3927.0799305552873</v>
      </c>
    </row>
    <row r="76" spans="2:24" x14ac:dyDescent="0.25">
      <c r="B76" s="86">
        <v>64</v>
      </c>
      <c r="C76" s="89">
        <f t="shared" si="10"/>
        <v>38.609778486537238</v>
      </c>
      <c r="D76" s="89">
        <f t="shared" si="10"/>
        <v>40.648562828972487</v>
      </c>
      <c r="E76" s="89">
        <f t="shared" si="10"/>
        <v>43.775952622569129</v>
      </c>
      <c r="F76" s="90">
        <f t="shared" si="10"/>
        <v>46.594905224813971</v>
      </c>
      <c r="G76" s="89">
        <f t="shared" si="10"/>
        <v>49.996290213437661</v>
      </c>
      <c r="H76" s="89">
        <f t="shared" si="10"/>
        <v>56.05000926638197</v>
      </c>
      <c r="I76" s="90">
        <f t="shared" si="10"/>
        <v>63.334582023531965</v>
      </c>
      <c r="J76" s="89">
        <f t="shared" si="10"/>
        <v>71.225140330197064</v>
      </c>
      <c r="K76" s="89">
        <f t="shared" si="10"/>
        <v>78.859642499111601</v>
      </c>
      <c r="L76" s="90">
        <f t="shared" si="10"/>
        <v>83.67526074272098</v>
      </c>
      <c r="M76" s="89">
        <f t="shared" si="10"/>
        <v>88.004051006497519</v>
      </c>
      <c r="N76" s="89">
        <f t="shared" si="10"/>
        <v>93.216859660238413</v>
      </c>
      <c r="O76" s="89">
        <f t="shared" si="10"/>
        <v>96.878113489517929</v>
      </c>
      <c r="P76" s="89">
        <f t="shared" si="10"/>
        <v>104.71632526304057</v>
      </c>
      <c r="R76" s="89">
        <f t="shared" si="2"/>
        <v>0.73569452479376329</v>
      </c>
      <c r="S76" s="91">
        <v>64</v>
      </c>
      <c r="T76" s="89">
        <f t="shared" si="3"/>
        <v>46.594905224813971</v>
      </c>
      <c r="U76" s="89">
        <f t="shared" si="4"/>
        <v>63.334582023531965</v>
      </c>
      <c r="V76" s="89">
        <f t="shared" si="5"/>
        <v>83.67526074272098</v>
      </c>
      <c r="X76" s="86">
        <f t="shared" si="6"/>
        <v>4053.4132495060458</v>
      </c>
    </row>
    <row r="77" spans="2:24" x14ac:dyDescent="0.25">
      <c r="B77" s="86">
        <v>65</v>
      </c>
      <c r="C77" s="89">
        <f t="shared" si="10"/>
        <v>39.383140825916527</v>
      </c>
      <c r="D77" s="89">
        <f t="shared" si="10"/>
        <v>41.443609131472805</v>
      </c>
      <c r="E77" s="89">
        <f t="shared" si="10"/>
        <v>44.602992520329281</v>
      </c>
      <c r="F77" s="90">
        <f t="shared" si="10"/>
        <v>47.44958110432794</v>
      </c>
      <c r="G77" s="89">
        <f t="shared" si="10"/>
        <v>50.882938969988444</v>
      </c>
      <c r="H77" s="89">
        <f t="shared" si="10"/>
        <v>56.990272385917379</v>
      </c>
      <c r="I77" s="90">
        <f t="shared" si="10"/>
        <v>64.334562598466889</v>
      </c>
      <c r="J77" s="89">
        <f t="shared" si="10"/>
        <v>72.284847674393134</v>
      </c>
      <c r="K77" s="89">
        <f t="shared" si="10"/>
        <v>79.973002654875458</v>
      </c>
      <c r="L77" s="90">
        <f t="shared" si="10"/>
        <v>84.82064549765667</v>
      </c>
      <c r="M77" s="89">
        <f t="shared" si="10"/>
        <v>89.177144996756184</v>
      </c>
      <c r="N77" s="89">
        <f t="shared" si="10"/>
        <v>94.422079007885031</v>
      </c>
      <c r="O77" s="89">
        <f t="shared" si="10"/>
        <v>98.105143811009427</v>
      </c>
      <c r="P77" s="89">
        <f t="shared" si="10"/>
        <v>105.98814308961286</v>
      </c>
      <c r="R77" s="89">
        <f t="shared" si="2"/>
        <v>0.73754416269954837</v>
      </c>
      <c r="S77" s="91">
        <v>65</v>
      </c>
      <c r="T77" s="89">
        <f t="shared" si="3"/>
        <v>47.44958110432794</v>
      </c>
      <c r="U77" s="89">
        <f t="shared" si="4"/>
        <v>64.334562598466889</v>
      </c>
      <c r="V77" s="89">
        <f t="shared" si="5"/>
        <v>84.82064549765667</v>
      </c>
      <c r="X77" s="86">
        <f t="shared" si="6"/>
        <v>4181.7465689003475</v>
      </c>
    </row>
    <row r="78" spans="2:24" x14ac:dyDescent="0.25">
      <c r="B78" s="86">
        <v>66</v>
      </c>
      <c r="C78" s="89">
        <f t="shared" si="10"/>
        <v>40.158235665452338</v>
      </c>
      <c r="D78" s="89">
        <f t="shared" si="10"/>
        <v>42.240226664378078</v>
      </c>
      <c r="E78" s="89">
        <f t="shared" si="10"/>
        <v>45.431363145459684</v>
      </c>
      <c r="F78" s="90">
        <f t="shared" si="10"/>
        <v>48.305377934971759</v>
      </c>
      <c r="G78" s="89">
        <f t="shared" si="10"/>
        <v>51.770464135492311</v>
      </c>
      <c r="H78" s="89">
        <f t="shared" si="10"/>
        <v>57.930998731239079</v>
      </c>
      <c r="I78" s="90">
        <f t="shared" si="10"/>
        <v>65.334543768454424</v>
      </c>
      <c r="J78" s="89">
        <f t="shared" si="10"/>
        <v>73.344092696464941</v>
      </c>
      <c r="K78" s="89">
        <f t="shared" si="10"/>
        <v>81.085486125601648</v>
      </c>
      <c r="L78" s="90">
        <f t="shared" si="10"/>
        <v>85.964907441230949</v>
      </c>
      <c r="M78" s="89">
        <f t="shared" si="10"/>
        <v>90.348904158840924</v>
      </c>
      <c r="N78" s="89">
        <f t="shared" si="10"/>
        <v>95.625719000112895</v>
      </c>
      <c r="O78" s="89">
        <f t="shared" si="10"/>
        <v>99.330429633663158</v>
      </c>
      <c r="P78" s="89">
        <f t="shared" si="10"/>
        <v>107.25787977487062</v>
      </c>
      <c r="R78" s="89">
        <f t="shared" ref="R78:R141" si="11">F78/I78</f>
        <v>0.73935433154880492</v>
      </c>
      <c r="S78" s="91">
        <v>66</v>
      </c>
      <c r="T78" s="89">
        <f t="shared" ref="T78:T141" si="12">F78</f>
        <v>48.305377934971759</v>
      </c>
      <c r="U78" s="89">
        <f t="shared" ref="U78:U141" si="13">I78</f>
        <v>65.334543768454424</v>
      </c>
      <c r="V78" s="89">
        <f t="shared" ref="V78:V141" si="14">L78</f>
        <v>85.964907441230949</v>
      </c>
      <c r="X78" s="86">
        <f t="shared" ref="X78:X141" si="15">B78*I78</f>
        <v>4312.0798887179917</v>
      </c>
    </row>
    <row r="79" spans="2:24" x14ac:dyDescent="0.25">
      <c r="B79" s="86">
        <v>67</v>
      </c>
      <c r="C79" s="89">
        <f t="shared" si="10"/>
        <v>40.935023918214256</v>
      </c>
      <c r="D79" s="89">
        <f t="shared" si="10"/>
        <v>43.038379868002728</v>
      </c>
      <c r="E79" s="89">
        <f t="shared" si="10"/>
        <v>46.261034263970039</v>
      </c>
      <c r="F79" s="90">
        <f t="shared" si="10"/>
        <v>49.162270179176815</v>
      </c>
      <c r="G79" s="89">
        <f t="shared" si="10"/>
        <v>52.65884569284394</v>
      </c>
      <c r="H79" s="89">
        <f t="shared" si="10"/>
        <v>58.872177688663371</v>
      </c>
      <c r="I79" s="90">
        <f t="shared" si="10"/>
        <v>66.334525506566905</v>
      </c>
      <c r="J79" s="89">
        <f t="shared" si="10"/>
        <v>74.402885969254257</v>
      </c>
      <c r="K79" s="89">
        <f t="shared" si="10"/>
        <v>82.19711294102899</v>
      </c>
      <c r="L79" s="90">
        <f t="shared" si="10"/>
        <v>87.108072195321924</v>
      </c>
      <c r="M79" s="89">
        <f t="shared" si="10"/>
        <v>91.519358912289533</v>
      </c>
      <c r="N79" s="89">
        <f t="shared" si="10"/>
        <v>96.827815563712321</v>
      </c>
      <c r="O79" s="89">
        <f t="shared" si="10"/>
        <v>100.5540105860281</v>
      </c>
      <c r="P79" s="89">
        <f t="shared" si="10"/>
        <v>108.52558244443475</v>
      </c>
      <c r="R79" s="89">
        <f t="shared" si="11"/>
        <v>0.74112643157913161</v>
      </c>
      <c r="S79" s="91">
        <v>67</v>
      </c>
      <c r="T79" s="89">
        <f t="shared" si="12"/>
        <v>49.162270179176815</v>
      </c>
      <c r="U79" s="89">
        <f t="shared" si="13"/>
        <v>66.334525506566905</v>
      </c>
      <c r="V79" s="89">
        <f t="shared" si="14"/>
        <v>87.108072195321924</v>
      </c>
      <c r="X79" s="86">
        <f t="shared" si="15"/>
        <v>4444.4132089399827</v>
      </c>
    </row>
    <row r="80" spans="2:24" x14ac:dyDescent="0.25">
      <c r="B80" s="86">
        <v>68</v>
      </c>
      <c r="C80" s="89">
        <f t="shared" si="10"/>
        <v>41.713467943750686</v>
      </c>
      <c r="D80" s="89">
        <f t="shared" si="10"/>
        <v>43.838034503035772</v>
      </c>
      <c r="E80" s="89">
        <f t="shared" si="10"/>
        <v>47.091976769144551</v>
      </c>
      <c r="F80" s="90">
        <f t="shared" si="10"/>
        <v>50.020233254289273</v>
      </c>
      <c r="G80" s="89">
        <f t="shared" si="10"/>
        <v>53.548064375423102</v>
      </c>
      <c r="H80" s="89">
        <f t="shared" si="10"/>
        <v>59.813799043777138</v>
      </c>
      <c r="I80" s="90">
        <f t="shared" si="10"/>
        <v>67.334507787477136</v>
      </c>
      <c r="J80" s="89">
        <f t="shared" si="10"/>
        <v>75.461237668756709</v>
      </c>
      <c r="K80" s="89">
        <f t="shared" si="10"/>
        <v>83.307902379651907</v>
      </c>
      <c r="L80" s="90">
        <f t="shared" si="10"/>
        <v>88.250164421874132</v>
      </c>
      <c r="M80" s="89">
        <f t="shared" si="10"/>
        <v>92.688538538338562</v>
      </c>
      <c r="N80" s="89">
        <f t="shared" si="10"/>
        <v>98.028403283314091</v>
      </c>
      <c r="O80" s="89">
        <f t="shared" si="10"/>
        <v>101.77592481806387</v>
      </c>
      <c r="P80" s="89">
        <f t="shared" si="10"/>
        <v>109.79129647066172</v>
      </c>
      <c r="R80" s="89">
        <f t="shared" si="11"/>
        <v>0.74286179401748043</v>
      </c>
      <c r="S80" s="91">
        <v>68</v>
      </c>
      <c r="T80" s="89">
        <f t="shared" si="12"/>
        <v>50.020233254289273</v>
      </c>
      <c r="U80" s="89">
        <f t="shared" si="13"/>
        <v>67.334507787477136</v>
      </c>
      <c r="V80" s="89">
        <f t="shared" si="14"/>
        <v>88.250164421874132</v>
      </c>
      <c r="X80" s="86">
        <f t="shared" si="15"/>
        <v>4578.7465295484453</v>
      </c>
    </row>
    <row r="81" spans="2:24" x14ac:dyDescent="0.25">
      <c r="B81" s="86">
        <v>69</v>
      </c>
      <c r="C81" s="89">
        <f t="shared" si="10"/>
        <v>42.49353147430952</v>
      </c>
      <c r="D81" s="89">
        <f t="shared" si="10"/>
        <v>44.639157582953032</v>
      </c>
      <c r="E81" s="89">
        <f t="shared" si="10"/>
        <v>47.924162623586895</v>
      </c>
      <c r="F81" s="90">
        <f t="shared" si="10"/>
        <v>50.879243483328644</v>
      </c>
      <c r="G81" s="89">
        <f t="shared" si="10"/>
        <v>54.438101628287804</v>
      </c>
      <c r="H81" s="89">
        <f t="shared" si="10"/>
        <v>60.755852960719295</v>
      </c>
      <c r="I81" s="90">
        <f t="shared" si="10"/>
        <v>68.334490587341193</v>
      </c>
      <c r="J81" s="89">
        <f t="shared" si="10"/>
        <v>76.519157594663042</v>
      </c>
      <c r="K81" s="89">
        <f t="shared" si="10"/>
        <v>84.417873007583594</v>
      </c>
      <c r="L81" s="90">
        <f t="shared" si="10"/>
        <v>89.391207872507977</v>
      </c>
      <c r="M81" s="89">
        <f t="shared" si="10"/>
        <v>93.856471238685401</v>
      </c>
      <c r="N81" s="89">
        <f t="shared" si="10"/>
        <v>99.227515470569486</v>
      </c>
      <c r="O81" s="89">
        <f t="shared" si="10"/>
        <v>102.99620907726479</v>
      </c>
      <c r="P81" s="89">
        <f t="shared" si="10"/>
        <v>111.0550655626715</v>
      </c>
      <c r="R81" s="89">
        <f t="shared" si="11"/>
        <v>0.74456168540976742</v>
      </c>
      <c r="S81" s="91">
        <v>69</v>
      </c>
      <c r="T81" s="89">
        <f t="shared" si="12"/>
        <v>50.879243483328644</v>
      </c>
      <c r="U81" s="89">
        <f t="shared" si="13"/>
        <v>68.334490587341193</v>
      </c>
      <c r="V81" s="89">
        <f t="shared" si="14"/>
        <v>89.391207872507977</v>
      </c>
      <c r="X81" s="86">
        <f t="shared" si="15"/>
        <v>4715.079850526542</v>
      </c>
    </row>
    <row r="82" spans="2:24" x14ac:dyDescent="0.25">
      <c r="B82" s="86">
        <v>70</v>
      </c>
      <c r="C82" s="89">
        <f t="shared" si="10"/>
        <v>43.275179545823477</v>
      </c>
      <c r="D82" s="89">
        <f t="shared" si="10"/>
        <v>45.441717310810553</v>
      </c>
      <c r="E82" s="89">
        <f t="shared" si="10"/>
        <v>48.757564805039515</v>
      </c>
      <c r="F82" s="90">
        <f t="shared" ref="D82:P101" si="16">CHIINV(F$12,$B82)</f>
        <v>51.739278048962916</v>
      </c>
      <c r="G82" s="89">
        <f t="shared" si="16"/>
        <v>55.328939571909629</v>
      </c>
      <c r="H82" s="89">
        <f t="shared" si="16"/>
        <v>61.698329962824438</v>
      </c>
      <c r="I82" s="90">
        <f t="shared" si="16"/>
        <v>69.334473883691473</v>
      </c>
      <c r="J82" s="89">
        <f t="shared" si="16"/>
        <v>77.576655189553549</v>
      </c>
      <c r="K82" s="89">
        <f t="shared" si="16"/>
        <v>85.527042714871882</v>
      </c>
      <c r="L82" s="90">
        <f t="shared" si="16"/>
        <v>90.531225434880668</v>
      </c>
      <c r="M82" s="89">
        <f t="shared" si="16"/>
        <v>95.023184190406198</v>
      </c>
      <c r="N82" s="89">
        <f t="shared" si="16"/>
        <v>100.42518422881135</v>
      </c>
      <c r="O82" s="89">
        <f t="shared" si="16"/>
        <v>104.21489877981666</v>
      </c>
      <c r="P82" s="89">
        <f t="shared" si="16"/>
        <v>112.31693185051564</v>
      </c>
      <c r="R82" s="89">
        <f t="shared" si="11"/>
        <v>0.74622731162214506</v>
      </c>
      <c r="S82" s="91">
        <v>70</v>
      </c>
      <c r="T82" s="89">
        <f t="shared" si="12"/>
        <v>51.739278048962916</v>
      </c>
      <c r="U82" s="89">
        <f t="shared" si="13"/>
        <v>69.334473883691473</v>
      </c>
      <c r="V82" s="89">
        <f t="shared" si="14"/>
        <v>90.531225434880668</v>
      </c>
      <c r="X82" s="86">
        <f t="shared" si="15"/>
        <v>4853.4131718584031</v>
      </c>
    </row>
    <row r="83" spans="2:24" x14ac:dyDescent="0.25">
      <c r="B83" s="86">
        <v>71</v>
      </c>
      <c r="C83" s="89">
        <f t="shared" ref="C83:P117" si="17">CHIINV(C$12,$B83)</f>
        <v>44.058378433289356</v>
      </c>
      <c r="D83" s="89">
        <f t="shared" si="16"/>
        <v>46.245683020077387</v>
      </c>
      <c r="E83" s="89">
        <f t="shared" si="16"/>
        <v>49.592157255680625</v>
      </c>
      <c r="F83" s="90">
        <f t="shared" si="16"/>
        <v>52.600314950447242</v>
      </c>
      <c r="G83" s="89">
        <f t="shared" si="16"/>
        <v>56.220560968250624</v>
      </c>
      <c r="H83" s="89">
        <f t="shared" si="16"/>
        <v>62.641220914520794</v>
      </c>
      <c r="I83" s="90">
        <f t="shared" si="16"/>
        <v>70.33445765533871</v>
      </c>
      <c r="J83" s="89">
        <f t="shared" si="16"/>
        <v>78.633739556852021</v>
      </c>
      <c r="K83" s="89">
        <f t="shared" si="16"/>
        <v>86.635428749469213</v>
      </c>
      <c r="L83" s="90">
        <f t="shared" si="16"/>
        <v>91.670239176054849</v>
      </c>
      <c r="M83" s="89">
        <f t="shared" si="16"/>
        <v>96.188703597333216</v>
      </c>
      <c r="N83" s="89">
        <f t="shared" si="16"/>
        <v>101.62144051355199</v>
      </c>
      <c r="O83" s="89">
        <f t="shared" si="16"/>
        <v>105.43202807717705</v>
      </c>
      <c r="P83" s="89">
        <f t="shared" si="16"/>
        <v>113.57693596394481</v>
      </c>
      <c r="R83" s="89">
        <f t="shared" si="11"/>
        <v>0.74785982154302766</v>
      </c>
      <c r="S83" s="91">
        <v>71</v>
      </c>
      <c r="T83" s="89">
        <f t="shared" si="12"/>
        <v>52.600314950447242</v>
      </c>
      <c r="U83" s="89">
        <f t="shared" si="13"/>
        <v>70.33445765533871</v>
      </c>
      <c r="V83" s="89">
        <f t="shared" si="14"/>
        <v>91.670239176054849</v>
      </c>
      <c r="X83" s="86">
        <f t="shared" si="15"/>
        <v>4993.7464935290482</v>
      </c>
    </row>
    <row r="84" spans="2:24" x14ac:dyDescent="0.25">
      <c r="B84" s="86">
        <v>72</v>
      </c>
      <c r="C84" s="89">
        <f t="shared" si="17"/>
        <v>44.843095590205358</v>
      </c>
      <c r="D84" s="89">
        <f t="shared" si="16"/>
        <v>47.051025119196964</v>
      </c>
      <c r="E84" s="89">
        <f t="shared" si="16"/>
        <v>50.427914834630464</v>
      </c>
      <c r="F84" s="90">
        <f t="shared" si="16"/>
        <v>53.462332963296213</v>
      </c>
      <c r="G84" s="89">
        <f t="shared" si="16"/>
        <v>57.112949188999785</v>
      </c>
      <c r="H84" s="89">
        <f t="shared" si="16"/>
        <v>63.58451700438458</v>
      </c>
      <c r="I84" s="90">
        <f t="shared" si="16"/>
        <v>71.33444188228242</v>
      </c>
      <c r="J84" s="89">
        <f t="shared" si="16"/>
        <v>79.690419477635658</v>
      </c>
      <c r="K84" s="89">
        <f t="shared" si="16"/>
        <v>87.743047749039036</v>
      </c>
      <c r="L84" s="90">
        <f t="shared" si="16"/>
        <v>92.808270383107711</v>
      </c>
      <c r="M84" s="89">
        <f t="shared" si="16"/>
        <v>97.353054738166136</v>
      </c>
      <c r="N84" s="89">
        <f t="shared" si="16"/>
        <v>102.8163141891407</v>
      </c>
      <c r="O84" s="89">
        <f t="shared" si="16"/>
        <v>106.64762991843349</v>
      </c>
      <c r="P84" s="89">
        <f t="shared" si="16"/>
        <v>114.83511710619325</v>
      </c>
      <c r="R84" s="89">
        <f t="shared" si="11"/>
        <v>0.74946031051200857</v>
      </c>
      <c r="S84" s="91">
        <v>72</v>
      </c>
      <c r="T84" s="89">
        <f t="shared" si="12"/>
        <v>53.462332963296213</v>
      </c>
      <c r="U84" s="89">
        <f t="shared" si="13"/>
        <v>71.33444188228242</v>
      </c>
      <c r="V84" s="89">
        <f t="shared" si="14"/>
        <v>92.808270383107711</v>
      </c>
      <c r="X84" s="86">
        <f t="shared" si="15"/>
        <v>5136.0798155243338</v>
      </c>
    </row>
    <row r="85" spans="2:24" x14ac:dyDescent="0.25">
      <c r="B85" s="86">
        <v>73</v>
      </c>
      <c r="C85" s="89">
        <f t="shared" si="17"/>
        <v>45.629299591758496</v>
      </c>
      <c r="D85" s="89">
        <f t="shared" si="16"/>
        <v>47.857715039593508</v>
      </c>
      <c r="E85" s="89">
        <f t="shared" si="16"/>
        <v>51.264813273421822</v>
      </c>
      <c r="F85" s="90">
        <f t="shared" si="16"/>
        <v>54.325311601480692</v>
      </c>
      <c r="G85" s="89">
        <f t="shared" si="16"/>
        <v>58.006088185803172</v>
      </c>
      <c r="H85" s="89">
        <f t="shared" si="16"/>
        <v>64.528209729261704</v>
      </c>
      <c r="I85" s="90">
        <f t="shared" si="16"/>
        <v>72.334426545628716</v>
      </c>
      <c r="J85" s="89">
        <f t="shared" si="16"/>
        <v>80.746703426389033</v>
      </c>
      <c r="K85" s="89">
        <f t="shared" si="16"/>
        <v>88.849915770764937</v>
      </c>
      <c r="L85" s="90">
        <f t="shared" si="16"/>
        <v>93.945339601192245</v>
      </c>
      <c r="M85" s="89">
        <f t="shared" si="16"/>
        <v>98.516262011567818</v>
      </c>
      <c r="N85" s="89">
        <f t="shared" si="16"/>
        <v>104.00983408187498</v>
      </c>
      <c r="O85" s="89">
        <f t="shared" si="16"/>
        <v>107.8617361087628</v>
      </c>
      <c r="P85" s="89">
        <f t="shared" si="16"/>
        <v>116.09151312316101</v>
      </c>
      <c r="R85" s="89">
        <f t="shared" si="11"/>
        <v>0.7510298234992181</v>
      </c>
      <c r="S85" s="91">
        <v>73</v>
      </c>
      <c r="T85" s="89">
        <f t="shared" si="12"/>
        <v>54.325311601480692</v>
      </c>
      <c r="U85" s="89">
        <f t="shared" si="13"/>
        <v>72.334426545628716</v>
      </c>
      <c r="V85" s="89">
        <f t="shared" si="14"/>
        <v>93.945339601192245</v>
      </c>
      <c r="X85" s="86">
        <f t="shared" si="15"/>
        <v>5280.4131378308966</v>
      </c>
    </row>
    <row r="86" spans="2:24" x14ac:dyDescent="0.25">
      <c r="B86" s="86">
        <v>74</v>
      </c>
      <c r="C86" s="89">
        <f t="shared" si="17"/>
        <v>46.416960081482799</v>
      </c>
      <c r="D86" s="89">
        <f t="shared" si="16"/>
        <v>48.665725186866204</v>
      </c>
      <c r="E86" s="89">
        <f t="shared" si="16"/>
        <v>52.102829134212058</v>
      </c>
      <c r="F86" s="90">
        <f t="shared" si="16"/>
        <v>55.18923108195871</v>
      </c>
      <c r="G86" s="89">
        <f t="shared" si="16"/>
        <v>58.899962462337108</v>
      </c>
      <c r="H86" s="89">
        <f t="shared" si="16"/>
        <v>65.472290879375763</v>
      </c>
      <c r="I86" s="90">
        <f t="shared" si="16"/>
        <v>73.334411627514712</v>
      </c>
      <c r="J86" s="89">
        <f t="shared" si="16"/>
        <v>81.802599585781792</v>
      </c>
      <c r="K86" s="89">
        <f t="shared" si="16"/>
        <v>89.956048319313538</v>
      </c>
      <c r="L86" s="90">
        <f t="shared" si="16"/>
        <v>95.081466669243255</v>
      </c>
      <c r="M86" s="89">
        <f t="shared" si="16"/>
        <v>99.678348978472371</v>
      </c>
      <c r="N86" s="89">
        <f t="shared" si="16"/>
        <v>105.2020280298331</v>
      </c>
      <c r="O86" s="89">
        <f t="shared" si="16"/>
        <v>109.0743773642849</v>
      </c>
      <c r="P86" s="89">
        <f t="shared" si="16"/>
        <v>117.34616056833926</v>
      </c>
      <c r="R86" s="89">
        <f t="shared" si="11"/>
        <v>0.75256935805634773</v>
      </c>
      <c r="S86" s="91">
        <v>74</v>
      </c>
      <c r="T86" s="89">
        <f t="shared" si="12"/>
        <v>55.18923108195871</v>
      </c>
      <c r="U86" s="89">
        <f t="shared" si="13"/>
        <v>73.334411627514712</v>
      </c>
      <c r="V86" s="89">
        <f t="shared" si="14"/>
        <v>95.081466669243255</v>
      </c>
      <c r="X86" s="86">
        <f t="shared" si="15"/>
        <v>5426.7464604360885</v>
      </c>
    </row>
    <row r="87" spans="2:24" x14ac:dyDescent="0.25">
      <c r="B87" s="86">
        <v>75</v>
      </c>
      <c r="C87" s="89">
        <f t="shared" si="17"/>
        <v>47.206047721132649</v>
      </c>
      <c r="D87" s="89">
        <f t="shared" si="16"/>
        <v>49.475028894935093</v>
      </c>
      <c r="E87" s="89">
        <f t="shared" si="16"/>
        <v>52.941939770532862</v>
      </c>
      <c r="F87" s="90">
        <f t="shared" si="16"/>
        <v>56.054072291366609</v>
      </c>
      <c r="G87" s="89">
        <f t="shared" si="16"/>
        <v>59.794557048086652</v>
      </c>
      <c r="H87" s="89">
        <f t="shared" si="16"/>
        <v>66.416752524348411</v>
      </c>
      <c r="I87" s="90">
        <f t="shared" si="16"/>
        <v>74.334397111039252</v>
      </c>
      <c r="J87" s="89">
        <f t="shared" si="16"/>
        <v>82.858115860543194</v>
      </c>
      <c r="K87" s="89">
        <f t="shared" si="16"/>
        <v>91.061460373088977</v>
      </c>
      <c r="L87" s="90">
        <f t="shared" si="16"/>
        <v>96.216670753503848</v>
      </c>
      <c r="M87" s="89">
        <f t="shared" si="16"/>
        <v>100.83933840181338</v>
      </c>
      <c r="N87" s="89">
        <f t="shared" si="16"/>
        <v>106.39292292967178</v>
      </c>
      <c r="O87" s="89">
        <f t="shared" si="16"/>
        <v>110.28558336357993</v>
      </c>
      <c r="P87" s="89">
        <f t="shared" si="16"/>
        <v>118.59909476379525</v>
      </c>
      <c r="R87" s="89">
        <f t="shared" si="11"/>
        <v>0.75407986705850516</v>
      </c>
      <c r="S87" s="91">
        <v>75</v>
      </c>
      <c r="T87" s="89">
        <f t="shared" si="12"/>
        <v>56.054072291366609</v>
      </c>
      <c r="U87" s="89">
        <f t="shared" si="13"/>
        <v>74.334397111039252</v>
      </c>
      <c r="V87" s="89">
        <f t="shared" si="14"/>
        <v>96.216670753503848</v>
      </c>
      <c r="X87" s="86">
        <f t="shared" si="15"/>
        <v>5575.0797833279439</v>
      </c>
    </row>
    <row r="88" spans="2:24" x14ac:dyDescent="0.25">
      <c r="B88" s="86">
        <v>76</v>
      </c>
      <c r="C88" s="89">
        <f t="shared" si="17"/>
        <v>47.996534143538078</v>
      </c>
      <c r="D88" s="89">
        <f t="shared" si="16"/>
        <v>50.285600382923782</v>
      </c>
      <c r="E88" s="89">
        <f t="shared" si="16"/>
        <v>53.782123290392285</v>
      </c>
      <c r="F88" s="90">
        <f t="shared" si="16"/>
        <v>56.919816754711988</v>
      </c>
      <c r="G88" s="89">
        <f t="shared" si="16"/>
        <v>60.689857473704059</v>
      </c>
      <c r="H88" s="89">
        <f t="shared" si="16"/>
        <v>67.361587000064915</v>
      </c>
      <c r="I88" s="90">
        <f t="shared" si="16"/>
        <v>75.334382980199038</v>
      </c>
      <c r="J88" s="89">
        <f t="shared" si="16"/>
        <v>83.913259890499987</v>
      </c>
      <c r="K88" s="89">
        <f t="shared" si="16"/>
        <v>92.166166408904999</v>
      </c>
      <c r="L88" s="90">
        <f t="shared" si="16"/>
        <v>97.350970379032972</v>
      </c>
      <c r="M88" s="89">
        <f t="shared" si="16"/>
        <v>101.99925228386167</v>
      </c>
      <c r="N88" s="89">
        <f t="shared" si="16"/>
        <v>107.58254478061227</v>
      </c>
      <c r="O88" s="89">
        <f t="shared" si="16"/>
        <v>111.49538279611284</v>
      </c>
      <c r="P88" s="89">
        <f t="shared" si="16"/>
        <v>119.85034985750519</v>
      </c>
      <c r="R88" s="89">
        <f t="shared" si="11"/>
        <v>0.75556226125423831</v>
      </c>
      <c r="S88" s="91">
        <v>76</v>
      </c>
      <c r="T88" s="89">
        <f t="shared" si="12"/>
        <v>56.919816754711988</v>
      </c>
      <c r="U88" s="89">
        <f t="shared" si="13"/>
        <v>75.334382980199038</v>
      </c>
      <c r="V88" s="89">
        <f t="shared" si="14"/>
        <v>97.350970379032972</v>
      </c>
      <c r="X88" s="86">
        <f t="shared" si="15"/>
        <v>5725.4131064951271</v>
      </c>
    </row>
    <row r="89" spans="2:24" x14ac:dyDescent="0.25">
      <c r="B89" s="86">
        <v>77</v>
      </c>
      <c r="C89" s="89">
        <f t="shared" si="17"/>
        <v>48.788391908227823</v>
      </c>
      <c r="D89" s="89">
        <f t="shared" si="16"/>
        <v>51.097414714581674</v>
      </c>
      <c r="E89" s="89">
        <f t="shared" si="16"/>
        <v>54.623358521559034</v>
      </c>
      <c r="F89" s="90">
        <f t="shared" si="16"/>
        <v>57.786446605923182</v>
      </c>
      <c r="G89" s="89">
        <f t="shared" si="16"/>
        <v>61.585849747832107</v>
      </c>
      <c r="H89" s="89">
        <f t="shared" si="16"/>
        <v>68.306786896322919</v>
      </c>
      <c r="I89" s="90">
        <f t="shared" si="16"/>
        <v>76.334369219829725</v>
      </c>
      <c r="J89" s="89">
        <f t="shared" si="16"/>
        <v>84.968039062838457</v>
      </c>
      <c r="K89" s="89">
        <f t="shared" si="16"/>
        <v>93.270180425189608</v>
      </c>
      <c r="L89" s="90">
        <f t="shared" si="16"/>
        <v>98.484383459340435</v>
      </c>
      <c r="M89" s="89">
        <f t="shared" si="16"/>
        <v>103.1581119013466</v>
      </c>
      <c r="N89" s="89">
        <f t="shared" si="16"/>
        <v>108.77091872581831</v>
      </c>
      <c r="O89" s="89">
        <f t="shared" si="16"/>
        <v>112.70380340778991</v>
      </c>
      <c r="P89" s="89">
        <f t="shared" si="16"/>
        <v>121.09995887729865</v>
      </c>
      <c r="R89" s="89">
        <f t="shared" si="11"/>
        <v>0.75701741163941827</v>
      </c>
      <c r="S89" s="91">
        <v>77</v>
      </c>
      <c r="T89" s="89">
        <f t="shared" si="12"/>
        <v>57.786446605923182</v>
      </c>
      <c r="U89" s="89">
        <f t="shared" si="13"/>
        <v>76.334369219829725</v>
      </c>
      <c r="V89" s="89">
        <f t="shared" si="14"/>
        <v>98.484383459340435</v>
      </c>
      <c r="X89" s="86">
        <f t="shared" si="15"/>
        <v>5877.7464299268886</v>
      </c>
    </row>
    <row r="90" spans="2:24" x14ac:dyDescent="0.25">
      <c r="B90" s="86">
        <v>78</v>
      </c>
      <c r="C90" s="89">
        <f t="shared" si="17"/>
        <v>49.581594459624213</v>
      </c>
      <c r="D90" s="89">
        <f t="shared" si="16"/>
        <v>51.91044776006612</v>
      </c>
      <c r="E90" s="89">
        <f t="shared" si="16"/>
        <v>55.46562497887296</v>
      </c>
      <c r="F90" s="90">
        <f t="shared" si="16"/>
        <v>58.653944560122618</v>
      </c>
      <c r="G90" s="89">
        <f t="shared" si="16"/>
        <v>62.482520335287539</v>
      </c>
      <c r="H90" s="89">
        <f t="shared" si="16"/>
        <v>69.252345045208457</v>
      </c>
      <c r="I90" s="90">
        <f t="shared" si="16"/>
        <v>77.334355815551731</v>
      </c>
      <c r="J90" s="89">
        <f t="shared" si="16"/>
        <v>86.022460523646274</v>
      </c>
      <c r="K90" s="89">
        <f t="shared" si="16"/>
        <v>94.373515963827359</v>
      </c>
      <c r="L90" s="90">
        <f t="shared" si="16"/>
        <v>99.61692732428385</v>
      </c>
      <c r="M90" s="89">
        <f t="shared" si="16"/>
        <v>104.31593783851922</v>
      </c>
      <c r="N90" s="89">
        <f t="shared" si="16"/>
        <v>109.95806909135277</v>
      </c>
      <c r="O90" s="89">
        <f t="shared" si="16"/>
        <v>113.91087204385187</v>
      </c>
      <c r="P90" s="89">
        <f t="shared" si="16"/>
        <v>122.34795378165674</v>
      </c>
      <c r="R90" s="89">
        <f t="shared" si="11"/>
        <v>0.75844615166921026</v>
      </c>
      <c r="S90" s="91">
        <v>78</v>
      </c>
      <c r="T90" s="89">
        <f t="shared" si="12"/>
        <v>58.653944560122618</v>
      </c>
      <c r="U90" s="89">
        <f t="shared" si="13"/>
        <v>77.334355815551731</v>
      </c>
      <c r="V90" s="89">
        <f t="shared" si="14"/>
        <v>99.61692732428385</v>
      </c>
      <c r="X90" s="86">
        <f t="shared" si="15"/>
        <v>6032.0797536130349</v>
      </c>
    </row>
    <row r="91" spans="2:24" x14ac:dyDescent="0.25">
      <c r="B91" s="86">
        <v>79</v>
      </c>
      <c r="C91" s="89">
        <f t="shared" si="17"/>
        <v>50.376116087630557</v>
      </c>
      <c r="D91" s="89">
        <f t="shared" si="16"/>
        <v>52.724676159917806</v>
      </c>
      <c r="E91" s="89">
        <f t="shared" si="16"/>
        <v>56.30890283343966</v>
      </c>
      <c r="F91" s="90">
        <f t="shared" si="16"/>
        <v>59.522293887502265</v>
      </c>
      <c r="G91" s="89">
        <f t="shared" si="16"/>
        <v>63.379856136508117</v>
      </c>
      <c r="H91" s="89">
        <f t="shared" si="16"/>
        <v>70.198254510147237</v>
      </c>
      <c r="I91" s="90">
        <f t="shared" si="16"/>
        <v>78.334342753720108</v>
      </c>
      <c r="J91" s="89">
        <f t="shared" si="16"/>
        <v>87.076531188785339</v>
      </c>
      <c r="K91" s="89">
        <f t="shared" si="16"/>
        <v>95.476186130736224</v>
      </c>
      <c r="L91" s="90">
        <f t="shared" si="16"/>
        <v>100.74861874635033</v>
      </c>
      <c r="M91" s="89">
        <f t="shared" si="16"/>
        <v>105.47275001830305</v>
      </c>
      <c r="N91" s="89">
        <f t="shared" si="16"/>
        <v>111.14401942288377</v>
      </c>
      <c r="O91" s="89">
        <f t="shared" si="16"/>
        <v>115.11661468929165</v>
      </c>
      <c r="P91" s="89">
        <f t="shared" si="16"/>
        <v>123.594365507585</v>
      </c>
      <c r="R91" s="89">
        <f t="shared" si="11"/>
        <v>0.75984927932104906</v>
      </c>
      <c r="S91" s="91">
        <v>79</v>
      </c>
      <c r="T91" s="89">
        <f t="shared" si="12"/>
        <v>59.522293887502265</v>
      </c>
      <c r="U91" s="89">
        <f t="shared" si="13"/>
        <v>78.334342753720108</v>
      </c>
      <c r="V91" s="89">
        <f t="shared" si="14"/>
        <v>100.74861874635033</v>
      </c>
      <c r="X91" s="86">
        <f t="shared" si="15"/>
        <v>6188.4130775438889</v>
      </c>
    </row>
    <row r="92" spans="2:24" x14ac:dyDescent="0.25">
      <c r="B92" s="86">
        <v>80</v>
      </c>
      <c r="C92" s="89">
        <f t="shared" si="17"/>
        <v>51.171931890445215</v>
      </c>
      <c r="D92" s="89">
        <f t="shared" si="16"/>
        <v>53.540077291078717</v>
      </c>
      <c r="E92" s="89">
        <f t="shared" si="16"/>
        <v>57.153172883577938</v>
      </c>
      <c r="F92" s="90">
        <f t="shared" si="16"/>
        <v>60.391478388689464</v>
      </c>
      <c r="G92" s="89">
        <f t="shared" si="16"/>
        <v>64.277844468175147</v>
      </c>
      <c r="H92" s="89">
        <f t="shared" si="16"/>
        <v>71.144508575584013</v>
      </c>
      <c r="I92" s="90">
        <f t="shared" si="16"/>
        <v>79.334330021378193</v>
      </c>
      <c r="J92" s="89">
        <f t="shared" si="16"/>
        <v>88.130257754142164</v>
      </c>
      <c r="K92" s="89">
        <f t="shared" si="16"/>
        <v>96.578203615267014</v>
      </c>
      <c r="L92" s="90">
        <f t="shared" si="16"/>
        <v>101.87947396543588</v>
      </c>
      <c r="M92" s="89">
        <f t="shared" si="16"/>
        <v>106.62856773166573</v>
      </c>
      <c r="N92" s="89">
        <f t="shared" si="16"/>
        <v>112.32879252029733</v>
      </c>
      <c r="O92" s="89">
        <f t="shared" si="16"/>
        <v>116.32105650696917</v>
      </c>
      <c r="P92" s="89">
        <f t="shared" si="16"/>
        <v>124.83922401576478</v>
      </c>
      <c r="R92" s="89">
        <f t="shared" si="11"/>
        <v>0.76122755902036099</v>
      </c>
      <c r="S92" s="91">
        <v>80</v>
      </c>
      <c r="T92" s="89">
        <f t="shared" si="12"/>
        <v>60.391478388689464</v>
      </c>
      <c r="U92" s="89">
        <f t="shared" si="13"/>
        <v>79.334330021378193</v>
      </c>
      <c r="V92" s="89">
        <f t="shared" si="14"/>
        <v>101.87947396543588</v>
      </c>
      <c r="X92" s="86">
        <f t="shared" si="15"/>
        <v>6346.7464017102557</v>
      </c>
    </row>
    <row r="93" spans="2:24" x14ac:dyDescent="0.25">
      <c r="B93" s="86">
        <v>81</v>
      </c>
      <c r="C93" s="89">
        <f t="shared" si="17"/>
        <v>51.96901773945126</v>
      </c>
      <c r="D93" s="89">
        <f t="shared" si="16"/>
        <v>54.356629234812289</v>
      </c>
      <c r="E93" s="89">
        <f t="shared" si="16"/>
        <v>57.998416527399449</v>
      </c>
      <c r="F93" s="90">
        <f t="shared" si="16"/>
        <v>61.261482371500676</v>
      </c>
      <c r="G93" s="89">
        <f t="shared" si="16"/>
        <v>65.176473044930148</v>
      </c>
      <c r="H93" s="89">
        <f t="shared" si="16"/>
        <v>72.091100737246592</v>
      </c>
      <c r="I93" s="90">
        <f t="shared" si="16"/>
        <v>80.334317606214796</v>
      </c>
      <c r="J93" s="89">
        <f t="shared" si="16"/>
        <v>89.183646705299083</v>
      </c>
      <c r="K93" s="89">
        <f t="shared" si="16"/>
        <v>97.679580708507032</v>
      </c>
      <c r="L93" s="90">
        <f t="shared" si="16"/>
        <v>103.00950871222618</v>
      </c>
      <c r="M93" s="89">
        <f t="shared" si="16"/>
        <v>107.78340966533453</v>
      </c>
      <c r="N93" s="89">
        <f t="shared" si="16"/>
        <v>113.51241047036055</v>
      </c>
      <c r="O93" s="89">
        <f t="shared" si="16"/>
        <v>117.52422187358147</v>
      </c>
      <c r="P93" s="89">
        <f t="shared" si="16"/>
        <v>126.08255833316947</v>
      </c>
      <c r="R93" s="89">
        <f t="shared" si="11"/>
        <v>0.76258172343971442</v>
      </c>
      <c r="S93" s="91">
        <v>81</v>
      </c>
      <c r="T93" s="89">
        <f t="shared" si="12"/>
        <v>61.261482371500676</v>
      </c>
      <c r="U93" s="89">
        <f t="shared" si="13"/>
        <v>80.334317606214796</v>
      </c>
      <c r="V93" s="89">
        <f t="shared" si="14"/>
        <v>103.00950871222618</v>
      </c>
      <c r="X93" s="86">
        <f t="shared" si="15"/>
        <v>6507.0797261033986</v>
      </c>
    </row>
    <row r="94" spans="2:24" x14ac:dyDescent="0.25">
      <c r="B94" s="86">
        <v>82</v>
      </c>
      <c r="C94" s="89">
        <f t="shared" si="17"/>
        <v>52.767350246041858</v>
      </c>
      <c r="D94" s="89">
        <f t="shared" si="16"/>
        <v>55.174310746397268</v>
      </c>
      <c r="E94" s="89">
        <f t="shared" si="16"/>
        <v>58.844615736910562</v>
      </c>
      <c r="F94" s="90">
        <f t="shared" si="16"/>
        <v>62.132290628988528</v>
      </c>
      <c r="G94" s="89">
        <f t="shared" si="16"/>
        <v>66.075729962111296</v>
      </c>
      <c r="H94" s="89">
        <f t="shared" si="16"/>
        <v>73.038024692954352</v>
      </c>
      <c r="I94" s="90">
        <f t="shared" si="16"/>
        <v>81.334305496524465</v>
      </c>
      <c r="J94" s="89">
        <f t="shared" si="16"/>
        <v>90.236704326665503</v>
      </c>
      <c r="K94" s="89">
        <f t="shared" si="16"/>
        <v>98.780329320562501</v>
      </c>
      <c r="L94" s="90">
        <f t="shared" si="16"/>
        <v>104.13873823027387</v>
      </c>
      <c r="M94" s="89">
        <f t="shared" si="16"/>
        <v>108.93729392796816</v>
      </c>
      <c r="N94" s="89">
        <f t="shared" si="16"/>
        <v>114.69489467756803</v>
      </c>
      <c r="O94" s="89">
        <f t="shared" si="16"/>
        <v>118.72613441363416</v>
      </c>
      <c r="P94" s="89">
        <f t="shared" si="16"/>
        <v>127.32439659331789</v>
      </c>
      <c r="R94" s="89">
        <f t="shared" si="11"/>
        <v>0.76391247518113414</v>
      </c>
      <c r="S94" s="91">
        <v>82</v>
      </c>
      <c r="T94" s="89">
        <f t="shared" si="12"/>
        <v>62.132290628988528</v>
      </c>
      <c r="U94" s="89">
        <f t="shared" si="13"/>
        <v>81.334305496524465</v>
      </c>
      <c r="V94" s="89">
        <f t="shared" si="14"/>
        <v>104.13873823027387</v>
      </c>
      <c r="X94" s="86">
        <f t="shared" si="15"/>
        <v>6669.4130507150057</v>
      </c>
    </row>
    <row r="95" spans="2:24" x14ac:dyDescent="0.25">
      <c r="B95" s="86">
        <v>83</v>
      </c>
      <c r="C95" s="89">
        <f t="shared" si="17"/>
        <v>53.566906730252107</v>
      </c>
      <c r="D95" s="89">
        <f t="shared" si="16"/>
        <v>55.993101226477208</v>
      </c>
      <c r="E95" s="89">
        <f t="shared" si="16"/>
        <v>59.691753033533843</v>
      </c>
      <c r="F95" s="90">
        <f t="shared" si="16"/>
        <v>63.00388841869551</v>
      </c>
      <c r="G95" s="89">
        <f t="shared" si="16"/>
        <v>66.975603679440852</v>
      </c>
      <c r="H95" s="89">
        <f t="shared" si="16"/>
        <v>73.985274333934655</v>
      </c>
      <c r="I95" s="90">
        <f t="shared" si="16"/>
        <v>82.334293681170692</v>
      </c>
      <c r="J95" s="89">
        <f t="shared" si="16"/>
        <v>91.289436710105747</v>
      </c>
      <c r="K95" s="89">
        <f t="shared" si="16"/>
        <v>99.88046099688853</v>
      </c>
      <c r="L95" s="90">
        <f t="shared" si="16"/>
        <v>105.26717729686034</v>
      </c>
      <c r="M95" s="89">
        <f t="shared" si="16"/>
        <v>110.09023807488876</v>
      </c>
      <c r="N95" s="89">
        <f t="shared" si="16"/>
        <v>115.87626589329335</v>
      </c>
      <c r="O95" s="89">
        <f t="shared" si="16"/>
        <v>119.92681703154778</v>
      </c>
      <c r="P95" s="89">
        <f t="shared" si="16"/>
        <v>128.56476607432273</v>
      </c>
      <c r="R95" s="89">
        <f t="shared" si="11"/>
        <v>0.76522048835045853</v>
      </c>
      <c r="S95" s="91">
        <v>83</v>
      </c>
      <c r="T95" s="89">
        <f t="shared" si="12"/>
        <v>63.00388841869551</v>
      </c>
      <c r="U95" s="89">
        <f t="shared" si="13"/>
        <v>82.334293681170692</v>
      </c>
      <c r="V95" s="89">
        <f t="shared" si="14"/>
        <v>105.26717729686034</v>
      </c>
      <c r="X95" s="86">
        <f t="shared" si="15"/>
        <v>6833.7463755371673</v>
      </c>
    </row>
    <row r="96" spans="2:24" x14ac:dyDescent="0.25">
      <c r="B96" s="86">
        <v>84</v>
      </c>
      <c r="C96" s="89">
        <f t="shared" si="17"/>
        <v>54.367665191079048</v>
      </c>
      <c r="D96" s="89">
        <f t="shared" si="16"/>
        <v>56.812980693956497</v>
      </c>
      <c r="E96" s="89">
        <f t="shared" si="16"/>
        <v>60.539811464955399</v>
      </c>
      <c r="F96" s="90">
        <f t="shared" si="16"/>
        <v>63.876261443034167</v>
      </c>
      <c r="G96" s="89">
        <f t="shared" si="16"/>
        <v>67.876083005600336</v>
      </c>
      <c r="H96" s="89">
        <f t="shared" si="16"/>
        <v>74.932843736613151</v>
      </c>
      <c r="I96" s="90">
        <f t="shared" si="16"/>
        <v>83.334282149551782</v>
      </c>
      <c r="J96" s="89">
        <f t="shared" si="16"/>
        <v>92.341849763096988</v>
      </c>
      <c r="K96" s="89">
        <f t="shared" si="16"/>
        <v>100.97998693373012</v>
      </c>
      <c r="L96" s="90">
        <f t="shared" si="16"/>
        <v>106.39484024272251</v>
      </c>
      <c r="M96" s="89">
        <f t="shared" si="16"/>
        <v>111.24225913146984</v>
      </c>
      <c r="N96" s="89">
        <f t="shared" si="16"/>
        <v>117.05654424335823</v>
      </c>
      <c r="O96" s="89">
        <f t="shared" si="16"/>
        <v>121.12629194202353</v>
      </c>
      <c r="P96" s="89">
        <f t="shared" si="16"/>
        <v>129.80369323488014</v>
      </c>
      <c r="R96" s="89">
        <f t="shared" si="11"/>
        <v>0.76650641003184938</v>
      </c>
      <c r="S96" s="91">
        <v>84</v>
      </c>
      <c r="T96" s="89">
        <f t="shared" si="12"/>
        <v>63.876261443034167</v>
      </c>
      <c r="U96" s="89">
        <f t="shared" si="13"/>
        <v>83.334282149551782</v>
      </c>
      <c r="V96" s="89">
        <f t="shared" si="14"/>
        <v>106.39484024272251</v>
      </c>
      <c r="X96" s="86">
        <f t="shared" si="15"/>
        <v>7000.0797005623499</v>
      </c>
    </row>
    <row r="97" spans="2:24" x14ac:dyDescent="0.25">
      <c r="B97" s="86">
        <v>85</v>
      </c>
      <c r="C97" s="89">
        <f t="shared" si="17"/>
        <v>55.169604278380241</v>
      </c>
      <c r="D97" s="89">
        <f t="shared" si="16"/>
        <v>57.633929760341317</v>
      </c>
      <c r="E97" s="89">
        <f t="shared" si="16"/>
        <v>61.388774583211543</v>
      </c>
      <c r="F97" s="90">
        <f t="shared" si="16"/>
        <v>64.749395830720005</v>
      </c>
      <c r="G97" s="89">
        <f t="shared" si="16"/>
        <v>68.777157083635217</v>
      </c>
      <c r="H97" s="89">
        <f t="shared" si="16"/>
        <v>75.880727154846895</v>
      </c>
      <c r="I97" s="90">
        <f t="shared" si="16"/>
        <v>84.334270891569119</v>
      </c>
      <c r="J97" s="89">
        <f t="shared" si="16"/>
        <v>93.393949216448192</v>
      </c>
      <c r="K97" s="89">
        <f t="shared" si="16"/>
        <v>102.0789179927325</v>
      </c>
      <c r="L97" s="90">
        <f t="shared" si="16"/>
        <v>107.52174097071946</v>
      </c>
      <c r="M97" s="89">
        <f t="shared" si="16"/>
        <v>112.39337361526815</v>
      </c>
      <c r="N97" s="89">
        <f t="shared" si="16"/>
        <v>118.23574925412318</v>
      </c>
      <c r="O97" s="89">
        <f t="shared" si="16"/>
        <v>122.3245806987813</v>
      </c>
      <c r="P97" s="89">
        <f t="shared" si="16"/>
        <v>131.04120374833494</v>
      </c>
      <c r="R97" s="89">
        <f t="shared" si="11"/>
        <v>0.76777086166986697</v>
      </c>
      <c r="S97" s="91">
        <v>85</v>
      </c>
      <c r="T97" s="89">
        <f t="shared" si="12"/>
        <v>64.749395830720005</v>
      </c>
      <c r="U97" s="89">
        <f t="shared" si="13"/>
        <v>84.334270891569119</v>
      </c>
      <c r="V97" s="89">
        <f t="shared" si="14"/>
        <v>107.52174097071946</v>
      </c>
      <c r="X97" s="86">
        <f t="shared" si="15"/>
        <v>7168.4130257833749</v>
      </c>
    </row>
    <row r="98" spans="2:24" x14ac:dyDescent="0.25">
      <c r="B98" s="86">
        <v>86</v>
      </c>
      <c r="C98" s="89">
        <f t="shared" si="17"/>
        <v>55.972703266248892</v>
      </c>
      <c r="D98" s="89">
        <f t="shared" si="16"/>
        <v>58.455929605433951</v>
      </c>
      <c r="E98" s="89">
        <f t="shared" si="16"/>
        <v>62.23862642393437</v>
      </c>
      <c r="F98" s="90">
        <f t="shared" si="16"/>
        <v>65.62327811918864</v>
      </c>
      <c r="G98" s="89">
        <f t="shared" si="16"/>
        <v>69.678815377135038</v>
      </c>
      <c r="H98" s="89">
        <f t="shared" si="16"/>
        <v>76.828919012571177</v>
      </c>
      <c r="I98" s="90">
        <f t="shared" si="16"/>
        <v>85.33425989759769</v>
      </c>
      <c r="J98" s="89">
        <f t="shared" si="16"/>
        <v>94.44574063160843</v>
      </c>
      <c r="K98" s="89">
        <f t="shared" si="16"/>
        <v>103.17726471477495</v>
      </c>
      <c r="L98" s="90">
        <f t="shared" si="16"/>
        <v>108.64789297350761</v>
      </c>
      <c r="M98" s="89">
        <f t="shared" si="16"/>
        <v>113.54359755698131</v>
      </c>
      <c r="N98" s="89">
        <f t="shared" si="16"/>
        <v>119.41389987719502</v>
      </c>
      <c r="O98" s="89">
        <f t="shared" si="16"/>
        <v>123.52170422177655</v>
      </c>
      <c r="P98" s="89">
        <f t="shared" si="16"/>
        <v>132.27732253494591</v>
      </c>
      <c r="R98" s="89">
        <f t="shared" si="11"/>
        <v>0.76901444036589173</v>
      </c>
      <c r="S98" s="91">
        <v>86</v>
      </c>
      <c r="T98" s="89">
        <f t="shared" si="12"/>
        <v>65.62327811918864</v>
      </c>
      <c r="U98" s="89">
        <f t="shared" si="13"/>
        <v>85.33425989759769</v>
      </c>
      <c r="V98" s="89">
        <f t="shared" si="14"/>
        <v>108.64789297350761</v>
      </c>
      <c r="X98" s="86">
        <f t="shared" si="15"/>
        <v>7338.7463511934011</v>
      </c>
    </row>
    <row r="99" spans="2:24" x14ac:dyDescent="0.25">
      <c r="B99" s="86">
        <v>87</v>
      </c>
      <c r="C99" s="89">
        <f t="shared" si="17"/>
        <v>56.776942027773288</v>
      </c>
      <c r="D99" s="89">
        <f t="shared" si="16"/>
        <v>59.278961954292789</v>
      </c>
      <c r="E99" s="89">
        <f t="shared" si="16"/>
        <v>63.089351486682588</v>
      </c>
      <c r="F99" s="90">
        <f t="shared" si="16"/>
        <v>66.497895237934642</v>
      </c>
      <c r="G99" s="89">
        <f t="shared" si="16"/>
        <v>70.581047657139479</v>
      </c>
      <c r="H99" s="89">
        <f t="shared" si="16"/>
        <v>77.777413896833693</v>
      </c>
      <c r="I99" s="90">
        <f t="shared" si="16"/>
        <v>86.334249158458604</v>
      </c>
      <c r="J99" s="89">
        <f t="shared" si="16"/>
        <v>95.497229407591192</v>
      </c>
      <c r="K99" s="89">
        <f t="shared" si="16"/>
        <v>104.27503733307769</v>
      </c>
      <c r="L99" s="90">
        <f t="shared" si="16"/>
        <v>109.77330935028796</v>
      </c>
      <c r="M99" s="89">
        <f t="shared" si="16"/>
        <v>114.69294652030611</v>
      </c>
      <c r="N99" s="89">
        <f t="shared" si="16"/>
        <v>120.59101451284054</v>
      </c>
      <c r="O99" s="89">
        <f t="shared" si="16"/>
        <v>124.71768282299236</v>
      </c>
      <c r="P99" s="89">
        <f t="shared" si="16"/>
        <v>133.51207379246569</v>
      </c>
      <c r="R99" s="89">
        <f t="shared" si="11"/>
        <v>0.77023772009511371</v>
      </c>
      <c r="S99" s="91">
        <v>87</v>
      </c>
      <c r="T99" s="89">
        <f t="shared" si="12"/>
        <v>66.497895237934642</v>
      </c>
      <c r="U99" s="89">
        <f t="shared" si="13"/>
        <v>86.334249158458604</v>
      </c>
      <c r="V99" s="89">
        <f t="shared" si="14"/>
        <v>109.77330935028796</v>
      </c>
      <c r="X99" s="86">
        <f t="shared" si="15"/>
        <v>7511.0796767858983</v>
      </c>
    </row>
    <row r="100" spans="2:24" x14ac:dyDescent="0.25">
      <c r="B100" s="86">
        <v>88</v>
      </c>
      <c r="C100" s="89">
        <f t="shared" si="17"/>
        <v>57.582301011091225</v>
      </c>
      <c r="D100" s="89">
        <f t="shared" si="16"/>
        <v>60.103009055379403</v>
      </c>
      <c r="E100" s="89">
        <f t="shared" si="16"/>
        <v>63.940934716288659</v>
      </c>
      <c r="F100" s="90">
        <f t="shared" si="16"/>
        <v>67.373234492713166</v>
      </c>
      <c r="G100" s="89">
        <f t="shared" si="16"/>
        <v>71.483843989723923</v>
      </c>
      <c r="H100" s="89">
        <f t="shared" si="16"/>
        <v>78.726206551191339</v>
      </c>
      <c r="I100" s="90">
        <f t="shared" si="16"/>
        <v>87.334238665393599</v>
      </c>
      <c r="J100" s="89">
        <f t="shared" si="16"/>
        <v>96.548420787538944</v>
      </c>
      <c r="K100" s="89">
        <f t="shared" si="16"/>
        <v>105.37224578562837</v>
      </c>
      <c r="L100" s="90">
        <f t="shared" si="16"/>
        <v>110.89800282268448</v>
      </c>
      <c r="M100" s="89">
        <f t="shared" si="16"/>
        <v>115.84143562076727</v>
      </c>
      <c r="N100" s="89">
        <f t="shared" si="16"/>
        <v>121.76711103218734</v>
      </c>
      <c r="O100" s="89">
        <f t="shared" si="16"/>
        <v>125.91253623089736</v>
      </c>
      <c r="P100" s="89">
        <f t="shared" si="16"/>
        <v>134.74548102514231</v>
      </c>
      <c r="R100" s="89">
        <f t="shared" si="11"/>
        <v>0.7714412528497826</v>
      </c>
      <c r="S100" s="91">
        <v>88</v>
      </c>
      <c r="T100" s="89">
        <f t="shared" si="12"/>
        <v>67.373234492713166</v>
      </c>
      <c r="U100" s="89">
        <f t="shared" si="13"/>
        <v>87.334238665393599</v>
      </c>
      <c r="V100" s="89">
        <f t="shared" si="14"/>
        <v>110.89800282268448</v>
      </c>
      <c r="X100" s="86">
        <f t="shared" si="15"/>
        <v>7685.4130025546365</v>
      </c>
    </row>
    <row r="101" spans="2:24" x14ac:dyDescent="0.25">
      <c r="B101" s="86">
        <v>89</v>
      </c>
      <c r="C101" s="89">
        <f t="shared" si="17"/>
        <v>58.388761216662431</v>
      </c>
      <c r="D101" s="89">
        <f t="shared" si="16"/>
        <v>60.928053659818396</v>
      </c>
      <c r="E101" s="89">
        <f t="shared" si="16"/>
        <v>64.793361485159082</v>
      </c>
      <c r="F101" s="90">
        <f t="shared" si="16"/>
        <v>68.249283550550842</v>
      </c>
      <c r="G101" s="89">
        <f t="shared" si="16"/>
        <v>72.387194724222482</v>
      </c>
      <c r="H101" s="89">
        <f t="shared" si="16"/>
        <v>79.67529186944671</v>
      </c>
      <c r="I101" s="90">
        <f t="shared" si="16"/>
        <v>88.334228410041177</v>
      </c>
      <c r="J101" s="89">
        <f t="shared" si="16"/>
        <v>97.599319864950402</v>
      </c>
      <c r="K101" s="89">
        <f t="shared" si="16"/>
        <v>106.46889972697032</v>
      </c>
      <c r="L101" s="90">
        <f t="shared" si="16"/>
        <v>112.02198574980787</v>
      </c>
      <c r="M101" s="89">
        <f t="shared" si="16"/>
        <v>116.98907954358141</v>
      </c>
      <c r="N101" s="89">
        <f t="shared" ref="N101:P101" si="18">CHIINV(N$12,$B101)</f>
        <v>122.94220679828861</v>
      </c>
      <c r="O101" s="89">
        <f t="shared" si="18"/>
        <v>127.10628361365266</v>
      </c>
      <c r="P101" s="89">
        <f t="shared" si="18"/>
        <v>135.9775670712404</v>
      </c>
      <c r="R101" s="89">
        <f t="shared" si="11"/>
        <v>0.77262556971395668</v>
      </c>
      <c r="S101" s="91">
        <v>89</v>
      </c>
      <c r="T101" s="89">
        <f t="shared" si="12"/>
        <v>68.249283550550842</v>
      </c>
      <c r="U101" s="89">
        <f t="shared" si="13"/>
        <v>88.334228410041177</v>
      </c>
      <c r="V101" s="89">
        <f t="shared" si="14"/>
        <v>112.02198574980787</v>
      </c>
      <c r="X101" s="86">
        <f t="shared" si="15"/>
        <v>7861.7463284936648</v>
      </c>
    </row>
    <row r="102" spans="2:24" x14ac:dyDescent="0.25">
      <c r="B102" s="86">
        <v>90</v>
      </c>
      <c r="C102" s="89">
        <f t="shared" si="17"/>
        <v>59.196304175680602</v>
      </c>
      <c r="D102" s="89">
        <f t="shared" si="17"/>
        <v>61.754079001701427</v>
      </c>
      <c r="E102" s="89">
        <f t="shared" si="17"/>
        <v>65.646617576468913</v>
      </c>
      <c r="F102" s="90">
        <f t="shared" si="17"/>
        <v>69.126030425515538</v>
      </c>
      <c r="G102" s="89">
        <f t="shared" si="17"/>
        <v>73.291090482048205</v>
      </c>
      <c r="H102" s="89">
        <f t="shared" si="17"/>
        <v>80.624664889703254</v>
      </c>
      <c r="I102" s="90">
        <f t="shared" si="17"/>
        <v>89.334218384414413</v>
      </c>
      <c r="J102" s="89">
        <f t="shared" si="17"/>
        <v>98.649931589591773</v>
      </c>
      <c r="K102" s="89">
        <f t="shared" si="17"/>
        <v>107.56500853939278</v>
      </c>
      <c r="L102" s="90">
        <f t="shared" si="17"/>
        <v>113.14527014255542</v>
      </c>
      <c r="M102" s="89">
        <f t="shared" si="17"/>
        <v>118.1358925606155</v>
      </c>
      <c r="N102" s="89">
        <f t="shared" si="17"/>
        <v>124.11631868612128</v>
      </c>
      <c r="O102" s="89">
        <f t="shared" si="17"/>
        <v>128.29894360114548</v>
      </c>
      <c r="P102" s="89">
        <f t="shared" si="17"/>
        <v>137.20835412917324</v>
      </c>
      <c r="R102" s="89">
        <f t="shared" si="11"/>
        <v>0.77379118187455398</v>
      </c>
      <c r="S102" s="91">
        <v>90</v>
      </c>
      <c r="T102" s="89">
        <f t="shared" si="12"/>
        <v>69.126030425515538</v>
      </c>
      <c r="U102" s="89">
        <f t="shared" si="13"/>
        <v>89.334218384414413</v>
      </c>
      <c r="V102" s="89">
        <f t="shared" si="14"/>
        <v>113.14527014255542</v>
      </c>
      <c r="X102" s="86">
        <f t="shared" si="15"/>
        <v>8040.0796545972971</v>
      </c>
    </row>
    <row r="103" spans="2:24" x14ac:dyDescent="0.25">
      <c r="B103" s="86">
        <v>91</v>
      </c>
      <c r="C103" s="89">
        <f t="shared" si="17"/>
        <v>60.004911929559093</v>
      </c>
      <c r="D103" s="89">
        <f t="shared" si="17"/>
        <v>62.581068779372906</v>
      </c>
      <c r="E103" s="89">
        <f t="shared" si="17"/>
        <v>66.500689168195976</v>
      </c>
      <c r="F103" s="90">
        <f t="shared" si="17"/>
        <v>70.003463465198763</v>
      </c>
      <c r="G103" s="89">
        <f t="shared" si="17"/>
        <v>74.195522146074552</v>
      </c>
      <c r="H103" s="89">
        <f t="shared" si="17"/>
        <v>81.574320788719589</v>
      </c>
      <c r="I103" s="90">
        <f t="shared" si="17"/>
        <v>90.334208580880201</v>
      </c>
      <c r="J103" s="89">
        <f t="shared" si="17"/>
        <v>99.700260773110998</v>
      </c>
      <c r="K103" s="89">
        <f t="shared" si="17"/>
        <v>108.66058134355924</v>
      </c>
      <c r="L103" s="90">
        <f t="shared" si="17"/>
        <v>114.26786767719355</v>
      </c>
      <c r="M103" s="89">
        <f t="shared" si="17"/>
        <v>119.28188854649564</v>
      </c>
      <c r="N103" s="89">
        <f t="shared" si="17"/>
        <v>125.28946310158368</v>
      </c>
      <c r="O103" s="89">
        <f t="shared" si="17"/>
        <v>129.49053430592042</v>
      </c>
      <c r="P103" s="89">
        <f t="shared" si="17"/>
        <v>138.43786378233108</v>
      </c>
      <c r="R103" s="89">
        <f t="shared" si="11"/>
        <v>0.77493858157313211</v>
      </c>
      <c r="S103" s="91">
        <v>91</v>
      </c>
      <c r="T103" s="89">
        <f t="shared" si="12"/>
        <v>70.003463465198763</v>
      </c>
      <c r="U103" s="89">
        <f t="shared" si="13"/>
        <v>90.334208580880201</v>
      </c>
      <c r="V103" s="89">
        <f t="shared" si="14"/>
        <v>114.26786767719355</v>
      </c>
      <c r="X103" s="86">
        <f t="shared" si="15"/>
        <v>8220.4129808600992</v>
      </c>
    </row>
    <row r="104" spans="2:24" x14ac:dyDescent="0.25">
      <c r="B104" s="86">
        <v>92</v>
      </c>
      <c r="C104" s="89">
        <f t="shared" si="17"/>
        <v>60.814567010423538</v>
      </c>
      <c r="D104" s="89">
        <f t="shared" si="17"/>
        <v>63.409007137636294</v>
      </c>
      <c r="E104" s="89">
        <f t="shared" si="17"/>
        <v>67.355562817943749</v>
      </c>
      <c r="F104" s="90">
        <f t="shared" si="17"/>
        <v>70.881571337867442</v>
      </c>
      <c r="G104" s="89">
        <f t="shared" si="17"/>
        <v>75.100480850543661</v>
      </c>
      <c r="H104" s="89">
        <f t="shared" si="17"/>
        <v>82.524254876544632</v>
      </c>
      <c r="I104" s="90">
        <f t="shared" si="17"/>
        <v>91.334198992139889</v>
      </c>
      <c r="J104" s="89">
        <f t="shared" si="17"/>
        <v>100.7503120943732</v>
      </c>
      <c r="K104" s="89">
        <f t="shared" si="17"/>
        <v>109.75562700860829</v>
      </c>
      <c r="L104" s="90">
        <f t="shared" si="17"/>
        <v>115.38978970826685</v>
      </c>
      <c r="M104" s="89">
        <f t="shared" si="17"/>
        <v>120.42708099391763</v>
      </c>
      <c r="N104" s="89">
        <f t="shared" si="17"/>
        <v>126.46165599955255</v>
      </c>
      <c r="O104" s="89">
        <f t="shared" si="17"/>
        <v>130.68107334307618</v>
      </c>
      <c r="P104" s="89">
        <f t="shared" si="17"/>
        <v>139.66611702268358</v>
      </c>
      <c r="R104" s="89">
        <f t="shared" si="11"/>
        <v>0.77606824300246424</v>
      </c>
      <c r="S104" s="91">
        <v>92</v>
      </c>
      <c r="T104" s="89">
        <f t="shared" si="12"/>
        <v>70.881571337867442</v>
      </c>
      <c r="U104" s="89">
        <f t="shared" si="13"/>
        <v>91.334198992139889</v>
      </c>
      <c r="V104" s="89">
        <f t="shared" si="14"/>
        <v>115.38978970826685</v>
      </c>
      <c r="X104" s="86">
        <f t="shared" si="15"/>
        <v>8402.7463072768696</v>
      </c>
    </row>
    <row r="105" spans="2:24" x14ac:dyDescent="0.25">
      <c r="B105" s="86">
        <v>93</v>
      </c>
      <c r="C105" s="89">
        <f t="shared" si="17"/>
        <v>61.625252422553224</v>
      </c>
      <c r="D105" s="89">
        <f t="shared" si="17"/>
        <v>64.23787865082852</v>
      </c>
      <c r="E105" s="89">
        <f t="shared" si="17"/>
        <v>68.211225448506383</v>
      </c>
      <c r="F105" s="90">
        <f t="shared" si="17"/>
        <v>71.760343020245003</v>
      </c>
      <c r="G105" s="89">
        <f t="shared" si="17"/>
        <v>76.00595797146994</v>
      </c>
      <c r="H105" s="89">
        <f t="shared" si="17"/>
        <v>83.474462591416653</v>
      </c>
      <c r="I105" s="90">
        <f t="shared" si="17"/>
        <v>92.334189611211158</v>
      </c>
      <c r="J105" s="89">
        <f t="shared" si="17"/>
        <v>101.80009010453422</v>
      </c>
      <c r="K105" s="89">
        <f t="shared" si="17"/>
        <v>110.85015416175854</v>
      </c>
      <c r="L105" s="90">
        <f t="shared" si="17"/>
        <v>116.51104728087356</v>
      </c>
      <c r="M105" s="89">
        <f t="shared" si="17"/>
        <v>121.5714830282068</v>
      </c>
      <c r="N105" s="89">
        <f t="shared" si="17"/>
        <v>127.63291290105587</v>
      </c>
      <c r="O105" s="89">
        <f t="shared" si="17"/>
        <v>131.87057784918844</v>
      </c>
      <c r="P105" s="89">
        <f t="shared" si="17"/>
        <v>140.89313427323057</v>
      </c>
      <c r="R105" s="89">
        <f t="shared" si="11"/>
        <v>0.77718062315166414</v>
      </c>
      <c r="S105" s="91">
        <v>93</v>
      </c>
      <c r="T105" s="89">
        <f t="shared" si="12"/>
        <v>71.760343020245003</v>
      </c>
      <c r="U105" s="89">
        <f t="shared" si="13"/>
        <v>92.334189611211158</v>
      </c>
      <c r="V105" s="89">
        <f t="shared" si="14"/>
        <v>116.51104728087356</v>
      </c>
      <c r="X105" s="86">
        <f t="shared" si="15"/>
        <v>8587.0796338426371</v>
      </c>
    </row>
    <row r="106" spans="2:24" x14ac:dyDescent="0.25">
      <c r="B106" s="86">
        <v>94</v>
      </c>
      <c r="C106" s="89">
        <f t="shared" si="17"/>
        <v>62.436951624714176</v>
      </c>
      <c r="D106" s="89">
        <f t="shared" si="17"/>
        <v>65.06766830670945</v>
      </c>
      <c r="E106" s="89">
        <f t="shared" si="17"/>
        <v>69.067664334131507</v>
      </c>
      <c r="F106" s="90">
        <f t="shared" si="17"/>
        <v>72.639767785884686</v>
      </c>
      <c r="G106" s="89">
        <f t="shared" si="17"/>
        <v>76.911945117509575</v>
      </c>
      <c r="H106" s="89">
        <f t="shared" si="17"/>
        <v>84.42493949491076</v>
      </c>
      <c r="I106" s="90">
        <f t="shared" si="17"/>
        <v>93.334180431411028</v>
      </c>
      <c r="J106" s="89">
        <f t="shared" si="17"/>
        <v>102.8495992318674</v>
      </c>
      <c r="K106" s="89">
        <f t="shared" si="17"/>
        <v>111.94417119744713</v>
      </c>
      <c r="L106" s="90">
        <f t="shared" si="17"/>
        <v>117.63165114234555</v>
      </c>
      <c r="M106" s="89">
        <f t="shared" si="17"/>
        <v>122.71510742117199</v>
      </c>
      <c r="N106" s="89">
        <f t="shared" si="17"/>
        <v>128.80324890961421</v>
      </c>
      <c r="O106" s="89">
        <f t="shared" si="17"/>
        <v>133.05906450031731</v>
      </c>
      <c r="P106" s="89">
        <f t="shared" si="17"/>
        <v>142.11893540936757</v>
      </c>
      <c r="R106" s="89">
        <f t="shared" si="11"/>
        <v>0.77827616260332244</v>
      </c>
      <c r="S106" s="91">
        <v>94</v>
      </c>
      <c r="T106" s="89">
        <f t="shared" si="12"/>
        <v>72.639767785884686</v>
      </c>
      <c r="U106" s="89">
        <f t="shared" si="13"/>
        <v>93.334180431411028</v>
      </c>
      <c r="V106" s="89">
        <f t="shared" si="14"/>
        <v>117.63165114234555</v>
      </c>
      <c r="X106" s="86">
        <f t="shared" si="15"/>
        <v>8773.4129605526359</v>
      </c>
    </row>
    <row r="107" spans="2:24" x14ac:dyDescent="0.25">
      <c r="B107" s="86">
        <v>95</v>
      </c>
      <c r="C107" s="89">
        <f t="shared" si="17"/>
        <v>63.249648513333305</v>
      </c>
      <c r="D107" s="89">
        <f t="shared" si="17"/>
        <v>65.898361491120284</v>
      </c>
      <c r="E107" s="89">
        <f t="shared" si="17"/>
        <v>69.924867087440262</v>
      </c>
      <c r="F107" s="90">
        <f t="shared" si="17"/>
        <v>73.519835194100096</v>
      </c>
      <c r="G107" s="89">
        <f t="shared" si="17"/>
        <v>77.81843412126868</v>
      </c>
      <c r="H107" s="89">
        <f t="shared" si="17"/>
        <v>85.375681267319933</v>
      </c>
      <c r="I107" s="90">
        <f t="shared" si="17"/>
        <v>94.334171446340079</v>
      </c>
      <c r="J107" s="89">
        <f t="shared" si="17"/>
        <v>103.89884378635846</v>
      </c>
      <c r="K107" s="89">
        <f t="shared" si="17"/>
        <v>113.037686286029</v>
      </c>
      <c r="L107" s="90">
        <f t="shared" si="17"/>
        <v>118.75161175336737</v>
      </c>
      <c r="M107" s="89">
        <f t="shared" si="17"/>
        <v>123.85796660429506</v>
      </c>
      <c r="N107" s="89">
        <f t="shared" si="17"/>
        <v>129.97267872679876</v>
      </c>
      <c r="O107" s="89">
        <f t="shared" si="17"/>
        <v>134.24654952915236</v>
      </c>
      <c r="P107" s="89">
        <f t="shared" si="17"/>
        <v>143.34353977923126</v>
      </c>
      <c r="R107" s="89">
        <f t="shared" si="11"/>
        <v>0.77935528628584227</v>
      </c>
      <c r="S107" s="91">
        <v>95</v>
      </c>
      <c r="T107" s="89">
        <f t="shared" si="12"/>
        <v>73.519835194100096</v>
      </c>
      <c r="U107" s="89">
        <f t="shared" si="13"/>
        <v>94.334171446340079</v>
      </c>
      <c r="V107" s="89">
        <f t="shared" si="14"/>
        <v>118.75161175336737</v>
      </c>
      <c r="X107" s="86">
        <f t="shared" si="15"/>
        <v>8961.7462874023076</v>
      </c>
    </row>
    <row r="108" spans="2:24" x14ac:dyDescent="0.25">
      <c r="B108" s="86">
        <v>96</v>
      </c>
      <c r="C108" s="89">
        <f t="shared" si="17"/>
        <v>64.06332740646414</v>
      </c>
      <c r="D108" s="89">
        <f t="shared" si="17"/>
        <v>66.729943973365778</v>
      </c>
      <c r="E108" s="89">
        <f t="shared" si="17"/>
        <v>70.782821646966482</v>
      </c>
      <c r="F108" s="90">
        <f t="shared" si="17"/>
        <v>74.400535079420948</v>
      </c>
      <c r="G108" s="89">
        <f t="shared" si="17"/>
        <v>78.725417031024477</v>
      </c>
      <c r="H108" s="89">
        <f t="shared" si="17"/>
        <v>86.326683703256123</v>
      </c>
      <c r="I108" s="90">
        <f t="shared" si="17"/>
        <v>95.334162649867466</v>
      </c>
      <c r="J108" s="89">
        <f t="shared" si="17"/>
        <v>104.94782796408187</v>
      </c>
      <c r="K108" s="89">
        <f t="shared" si="17"/>
        <v>114.13070738206275</v>
      </c>
      <c r="L108" s="90">
        <f t="shared" si="17"/>
        <v>119.87093929856714</v>
      </c>
      <c r="M108" s="89">
        <f t="shared" si="17"/>
        <v>125.00007268129393</v>
      </c>
      <c r="N108" s="89">
        <f t="shared" si="17"/>
        <v>131.14121666705199</v>
      </c>
      <c r="O108" s="89">
        <f t="shared" si="17"/>
        <v>135.433048741346</v>
      </c>
      <c r="P108" s="89">
        <f t="shared" si="17"/>
        <v>144.56696622308283</v>
      </c>
      <c r="R108" s="89">
        <f t="shared" si="11"/>
        <v>0.7804184041839316</v>
      </c>
      <c r="S108" s="91">
        <v>96</v>
      </c>
      <c r="T108" s="89">
        <f t="shared" si="12"/>
        <v>74.400535079420948</v>
      </c>
      <c r="U108" s="89">
        <f t="shared" si="13"/>
        <v>95.334162649867466</v>
      </c>
      <c r="V108" s="89">
        <f t="shared" si="14"/>
        <v>119.87093929856714</v>
      </c>
      <c r="X108" s="86">
        <f t="shared" si="15"/>
        <v>9152.0796143872758</v>
      </c>
    </row>
    <row r="109" spans="2:24" x14ac:dyDescent="0.25">
      <c r="B109" s="86">
        <v>97</v>
      </c>
      <c r="C109" s="89">
        <f t="shared" si="17"/>
        <v>64.877973028500449</v>
      </c>
      <c r="D109" s="89">
        <f t="shared" si="17"/>
        <v>67.562401892279084</v>
      </c>
      <c r="E109" s="89">
        <f t="shared" si="17"/>
        <v>71.641516265279606</v>
      </c>
      <c r="F109" s="90">
        <f t="shared" si="17"/>
        <v>75.281857541543673</v>
      </c>
      <c r="G109" s="89">
        <f t="shared" si="17"/>
        <v>79.632886102835855</v>
      </c>
      <c r="H109" s="89">
        <f t="shared" si="17"/>
        <v>87.277942707458791</v>
      </c>
      <c r="I109" s="90">
        <f t="shared" si="17"/>
        <v>96.334154036117056</v>
      </c>
      <c r="J109" s="89">
        <f t="shared" si="17"/>
        <v>105.99655585137117</v>
      </c>
      <c r="K109" s="89">
        <f t="shared" si="17"/>
        <v>115.2232422322066</v>
      </c>
      <c r="L109" s="90">
        <f t="shared" si="17"/>
        <v>120.98964369660958</v>
      </c>
      <c r="M109" s="89">
        <f t="shared" si="17"/>
        <v>126.14143744009597</v>
      </c>
      <c r="N109" s="89">
        <f t="shared" si="17"/>
        <v>132.30887667181261</v>
      </c>
      <c r="O109" s="89">
        <f t="shared" si="17"/>
        <v>136.61857753108043</v>
      </c>
      <c r="P109" s="89">
        <f t="shared" si="17"/>
        <v>145.78923309178393</v>
      </c>
      <c r="R109" s="89">
        <f t="shared" si="11"/>
        <v>0.78146591200997551</v>
      </c>
      <c r="S109" s="91">
        <v>97</v>
      </c>
      <c r="T109" s="89">
        <f t="shared" si="12"/>
        <v>75.281857541543673</v>
      </c>
      <c r="U109" s="89">
        <f t="shared" si="13"/>
        <v>96.334154036117056</v>
      </c>
      <c r="V109" s="89">
        <f t="shared" si="14"/>
        <v>120.98964369660958</v>
      </c>
      <c r="X109" s="86">
        <f t="shared" si="15"/>
        <v>9344.4129415033549</v>
      </c>
    </row>
    <row r="110" spans="2:24" x14ac:dyDescent="0.25">
      <c r="B110" s="86">
        <v>98</v>
      </c>
      <c r="C110" s="89">
        <f t="shared" si="17"/>
        <v>65.69357049559369</v>
      </c>
      <c r="D110" s="89">
        <f t="shared" si="17"/>
        <v>68.395721742930931</v>
      </c>
      <c r="E110" s="89">
        <f t="shared" si="17"/>
        <v>72.500939497658294</v>
      </c>
      <c r="F110" s="90">
        <f t="shared" si="17"/>
        <v>76.163792935749072</v>
      </c>
      <c r="G110" s="89">
        <f t="shared" si="17"/>
        <v>80.540833793021164</v>
      </c>
      <c r="H110" s="89">
        <f t="shared" si="17"/>
        <v>88.229454290798955</v>
      </c>
      <c r="I110" s="90">
        <f t="shared" si="17"/>
        <v>97.334145599454303</v>
      </c>
      <c r="J110" s="89">
        <f t="shared" si="17"/>
        <v>107.04503142879503</v>
      </c>
      <c r="K110" s="89">
        <f t="shared" si="17"/>
        <v>116.31529838274675</v>
      </c>
      <c r="L110" s="90">
        <f t="shared" si="17"/>
        <v>122.10773460981943</v>
      </c>
      <c r="M110" s="89">
        <f t="shared" si="17"/>
        <v>127.28207236425453</v>
      </c>
      <c r="N110" s="89">
        <f t="shared" si="17"/>
        <v>133.47567232298493</v>
      </c>
      <c r="O110" s="89">
        <f t="shared" si="17"/>
        <v>137.80315089591303</v>
      </c>
      <c r="P110" s="89">
        <f t="shared" si="17"/>
        <v>147.01035826441762</v>
      </c>
      <c r="R110" s="89">
        <f t="shared" si="11"/>
        <v>0.7824981918388163</v>
      </c>
      <c r="S110" s="91">
        <v>98</v>
      </c>
      <c r="T110" s="89">
        <f t="shared" si="12"/>
        <v>76.163792935749072</v>
      </c>
      <c r="U110" s="89">
        <f t="shared" si="13"/>
        <v>97.334145599454303</v>
      </c>
      <c r="V110" s="89">
        <f t="shared" si="14"/>
        <v>122.10773460981943</v>
      </c>
      <c r="X110" s="86">
        <f t="shared" si="15"/>
        <v>9538.7462687465213</v>
      </c>
    </row>
    <row r="111" spans="2:24" x14ac:dyDescent="0.25">
      <c r="B111" s="86">
        <v>99</v>
      </c>
      <c r="C111" s="89">
        <f t="shared" si="17"/>
        <v>66.510105301737369</v>
      </c>
      <c r="D111" s="89">
        <f t="shared" si="17"/>
        <v>69.22989036394705</v>
      </c>
      <c r="E111" s="89">
        <f t="shared" si="17"/>
        <v>73.361080191283676</v>
      </c>
      <c r="F111" s="90">
        <f t="shared" si="17"/>
        <v>77.046331863760287</v>
      </c>
      <c r="G111" s="89">
        <f t="shared" si="17"/>
        <v>81.449252750982481</v>
      </c>
      <c r="H111" s="89">
        <f t="shared" si="17"/>
        <v>89.181214566467773</v>
      </c>
      <c r="I111" s="90">
        <f t="shared" si="17"/>
        <v>98.334137334473922</v>
      </c>
      <c r="J111" s="89">
        <f t="shared" si="17"/>
        <v>108.09325857495008</v>
      </c>
      <c r="K111" s="89">
        <f t="shared" si="17"/>
        <v>117.4068831867789</v>
      </c>
      <c r="L111" s="90">
        <f t="shared" si="17"/>
        <v>123.2252214533618</v>
      </c>
      <c r="M111" s="89">
        <f t="shared" si="17"/>
        <v>128.42198864384031</v>
      </c>
      <c r="N111" s="89">
        <f t="shared" si="17"/>
        <v>134.64161685578915</v>
      </c>
      <c r="O111" s="89">
        <f t="shared" si="17"/>
        <v>138.9867834509395</v>
      </c>
      <c r="P111" s="89">
        <f t="shared" si="17"/>
        <v>148.2303591651017</v>
      </c>
      <c r="R111" s="89">
        <f t="shared" si="11"/>
        <v>0.78351561270827796</v>
      </c>
      <c r="S111" s="91">
        <v>99</v>
      </c>
      <c r="T111" s="89">
        <f t="shared" si="12"/>
        <v>77.046331863760287</v>
      </c>
      <c r="U111" s="89">
        <f t="shared" si="13"/>
        <v>98.334137334473922</v>
      </c>
      <c r="V111" s="89">
        <f t="shared" si="14"/>
        <v>123.2252214533618</v>
      </c>
      <c r="X111" s="86">
        <f t="shared" si="15"/>
        <v>9735.0795961129188</v>
      </c>
    </row>
    <row r="112" spans="2:24" x14ac:dyDescent="0.25">
      <c r="B112" s="86">
        <v>100</v>
      </c>
      <c r="C112" s="89">
        <f t="shared" si="17"/>
        <v>67.327563305479146</v>
      </c>
      <c r="D112" s="89">
        <f t="shared" si="17"/>
        <v>70.064894925399784</v>
      </c>
      <c r="E112" s="89">
        <f t="shared" si="17"/>
        <v>74.221927474923731</v>
      </c>
      <c r="F112" s="90">
        <f t="shared" si="17"/>
        <v>77.929465165017277</v>
      </c>
      <c r="G112" s="89">
        <f t="shared" si="17"/>
        <v>82.358135812357148</v>
      </c>
      <c r="H112" s="89">
        <f t="shared" si="17"/>
        <v>90.133219746339307</v>
      </c>
      <c r="I112" s="90">
        <f t="shared" si="17"/>
        <v>99.334129235988456</v>
      </c>
      <c r="J112" s="89">
        <f t="shared" si="17"/>
        <v>109.1412410700806</v>
      </c>
      <c r="K112" s="89">
        <f t="shared" si="17"/>
        <v>118.49800381106211</v>
      </c>
      <c r="L112" s="90">
        <f t="shared" si="17"/>
        <v>124.34211340400408</v>
      </c>
      <c r="M112" s="89">
        <f t="shared" si="17"/>
        <v>129.56119718583659</v>
      </c>
      <c r="N112" s="89">
        <f t="shared" si="17"/>
        <v>135.80672317102679</v>
      </c>
      <c r="O112" s="89">
        <f t="shared" si="17"/>
        <v>140.16948944231365</v>
      </c>
      <c r="P112" s="89">
        <f t="shared" si="17"/>
        <v>149.44925277903872</v>
      </c>
      <c r="R112" s="89">
        <f t="shared" si="11"/>
        <v>0.78451853118760384</v>
      </c>
      <c r="S112" s="91">
        <v>100</v>
      </c>
      <c r="T112" s="89">
        <f t="shared" si="12"/>
        <v>77.929465165017277</v>
      </c>
      <c r="U112" s="89">
        <f t="shared" si="13"/>
        <v>99.334129235988456</v>
      </c>
      <c r="V112" s="89">
        <f t="shared" si="14"/>
        <v>124.34211340400408</v>
      </c>
      <c r="X112" s="86">
        <f t="shared" si="15"/>
        <v>9933.4129235988457</v>
      </c>
    </row>
    <row r="113" spans="2:24" x14ac:dyDescent="0.25">
      <c r="B113" s="86">
        <v>101</v>
      </c>
      <c r="C113" s="89">
        <f t="shared" si="17"/>
        <v>68.145930717228609</v>
      </c>
      <c r="D113" s="89">
        <f t="shared" si="17"/>
        <v>70.900722917243058</v>
      </c>
      <c r="E113" s="89">
        <f t="shared" si="17"/>
        <v>75.083470749081414</v>
      </c>
      <c r="F113" s="90">
        <f t="shared" si="17"/>
        <v>78.813183908344044</v>
      </c>
      <c r="G113" s="89">
        <f t="shared" si="17"/>
        <v>83.267475992478438</v>
      </c>
      <c r="H113" s="89">
        <f t="shared" si="17"/>
        <v>91.085466137497903</v>
      </c>
      <c r="I113" s="90">
        <f t="shared" si="17"/>
        <v>100.33412129901728</v>
      </c>
      <c r="J113" s="89">
        <f t="shared" si="17"/>
        <v>110.18898259953468</v>
      </c>
      <c r="K113" s="89">
        <f t="shared" si="17"/>
        <v>119.58866724256319</v>
      </c>
      <c r="L113" s="90">
        <f t="shared" si="17"/>
        <v>125.45841940848238</v>
      </c>
      <c r="M113" s="89">
        <f t="shared" si="17"/>
        <v>130.69970862406595</v>
      </c>
      <c r="N113" s="89">
        <f t="shared" si="17"/>
        <v>136.97100384679405</v>
      </c>
      <c r="O113" s="89">
        <f t="shared" si="17"/>
        <v>141.35128276015848</v>
      </c>
      <c r="P113" s="89">
        <f t="shared" si="17"/>
        <v>150.66705566784543</v>
      </c>
      <c r="R113" s="89">
        <f t="shared" si="11"/>
        <v>0.78550729191581581</v>
      </c>
      <c r="S113" s="91">
        <v>101</v>
      </c>
      <c r="T113" s="89">
        <f t="shared" si="12"/>
        <v>78.813183908344044</v>
      </c>
      <c r="U113" s="89">
        <f t="shared" si="13"/>
        <v>100.33412129901728</v>
      </c>
      <c r="V113" s="89">
        <f t="shared" si="14"/>
        <v>125.45841940848238</v>
      </c>
      <c r="X113" s="86">
        <f t="shared" si="15"/>
        <v>10133.746251200746</v>
      </c>
    </row>
    <row r="114" spans="2:24" x14ac:dyDescent="0.25">
      <c r="B114" s="86">
        <v>102</v>
      </c>
      <c r="C114" s="89">
        <f t="shared" si="17"/>
        <v>68.965194087126136</v>
      </c>
      <c r="D114" s="89">
        <f t="shared" si="17"/>
        <v>71.737362138260593</v>
      </c>
      <c r="E114" s="89">
        <f t="shared" si="17"/>
        <v>75.945699676581526</v>
      </c>
      <c r="F114" s="90">
        <f t="shared" si="17"/>
        <v>79.697479383988167</v>
      </c>
      <c r="G114" s="89">
        <f t="shared" si="17"/>
        <v>84.177266480128566</v>
      </c>
      <c r="H114" s="89">
        <f t="shared" si="17"/>
        <v>92.037950138921062</v>
      </c>
      <c r="I114" s="90">
        <f t="shared" si="17"/>
        <v>101.33411351877649</v>
      </c>
      <c r="J114" s="89">
        <f t="shared" si="17"/>
        <v>111.23648675706586</v>
      </c>
      <c r="K114" s="89">
        <f t="shared" si="17"/>
        <v>120.67888029470862</v>
      </c>
      <c r="L114" s="90">
        <f t="shared" si="17"/>
        <v>126.57414819149433</v>
      </c>
      <c r="M114" s="89">
        <f t="shared" si="17"/>
        <v>131.83753332867363</v>
      </c>
      <c r="N114" s="89">
        <f t="shared" si="17"/>
        <v>138.13447114967266</v>
      </c>
      <c r="O114" s="89">
        <f t="shared" si="17"/>
        <v>142.5321769509022</v>
      </c>
      <c r="P114" s="89">
        <f t="shared" si="17"/>
        <v>151.88378398420073</v>
      </c>
      <c r="R114" s="89">
        <f t="shared" si="11"/>
        <v>0.78648222811186674</v>
      </c>
      <c r="S114" s="91">
        <v>102</v>
      </c>
      <c r="T114" s="89">
        <f t="shared" si="12"/>
        <v>79.697479383988167</v>
      </c>
      <c r="U114" s="89">
        <f t="shared" si="13"/>
        <v>101.33411351877649</v>
      </c>
      <c r="V114" s="89">
        <f t="shared" si="14"/>
        <v>126.57414819149433</v>
      </c>
      <c r="X114" s="86">
        <f t="shared" si="15"/>
        <v>10336.079578915202</v>
      </c>
    </row>
    <row r="115" spans="2:24" x14ac:dyDescent="0.25">
      <c r="B115" s="86">
        <v>103</v>
      </c>
      <c r="C115" s="89">
        <f t="shared" si="17"/>
        <v>69.785340293445529</v>
      </c>
      <c r="D115" s="89">
        <f t="shared" si="17"/>
        <v>72.574800685500435</v>
      </c>
      <c r="E115" s="89">
        <f t="shared" si="17"/>
        <v>76.80860417357276</v>
      </c>
      <c r="F115" s="90">
        <f t="shared" si="17"/>
        <v>80.582343096011428</v>
      </c>
      <c r="G115" s="89">
        <f t="shared" si="17"/>
        <v>85.087500631568062</v>
      </c>
      <c r="H115" s="89">
        <f t="shared" si="17"/>
        <v>92.990668238309553</v>
      </c>
      <c r="I115" s="90">
        <f t="shared" si="17"/>
        <v>102.33410589066925</v>
      </c>
      <c r="J115" s="89">
        <f t="shared" si="17"/>
        <v>112.28375704798844</v>
      </c>
      <c r="K115" s="89">
        <f t="shared" si="17"/>
        <v>121.76864961335946</v>
      </c>
      <c r="L115" s="90">
        <f t="shared" si="17"/>
        <v>127.68930826333825</v>
      </c>
      <c r="M115" s="89">
        <f t="shared" si="17"/>
        <v>132.9746814151919</v>
      </c>
      <c r="N115" s="89">
        <f t="shared" si="17"/>
        <v>139.29713704542647</v>
      </c>
      <c r="O115" s="89">
        <f t="shared" si="17"/>
        <v>143.7121852290696</v>
      </c>
      <c r="P115" s="89">
        <f t="shared" si="17"/>
        <v>153.09945348584776</v>
      </c>
      <c r="R115" s="89">
        <f t="shared" si="11"/>
        <v>0.78744366205830962</v>
      </c>
      <c r="S115" s="91">
        <v>103</v>
      </c>
      <c r="T115" s="89">
        <f t="shared" si="12"/>
        <v>80.582343096011428</v>
      </c>
      <c r="U115" s="89">
        <f t="shared" si="13"/>
        <v>102.33410589066925</v>
      </c>
      <c r="V115" s="89">
        <f t="shared" si="14"/>
        <v>127.68930826333825</v>
      </c>
      <c r="X115" s="86">
        <f t="shared" si="15"/>
        <v>10540.412906738933</v>
      </c>
    </row>
    <row r="116" spans="2:24" x14ac:dyDescent="0.25">
      <c r="B116" s="86">
        <v>104</v>
      </c>
      <c r="C116" s="89">
        <f t="shared" si="17"/>
        <v>70.606356531498804</v>
      </c>
      <c r="D116" s="89">
        <f t="shared" si="17"/>
        <v>73.413026944169317</v>
      </c>
      <c r="E116" s="89">
        <f t="shared" si="17"/>
        <v>77.672174400922444</v>
      </c>
      <c r="F116" s="90">
        <f t="shared" si="17"/>
        <v>81.467766755013798</v>
      </c>
      <c r="G116" s="89">
        <f t="shared" si="17"/>
        <v>85.998171964826881</v>
      </c>
      <c r="H116" s="89">
        <f t="shared" si="17"/>
        <v>93.943617009056609</v>
      </c>
      <c r="I116" s="90">
        <f t="shared" si="17"/>
        <v>103.33409841027674</v>
      </c>
      <c r="J116" s="89">
        <f t="shared" si="17"/>
        <v>113.33079689219454</v>
      </c>
      <c r="K116" s="89">
        <f t="shared" si="17"/>
        <v>122.85798168252468</v>
      </c>
      <c r="L116" s="90">
        <f t="shared" si="17"/>
        <v>128.80390792721767</v>
      </c>
      <c r="M116" s="89">
        <f t="shared" si="17"/>
        <v>134.11116275320757</v>
      </c>
      <c r="N116" s="89">
        <f t="shared" si="17"/>
        <v>140.45901320923065</v>
      </c>
      <c r="O116" s="89">
        <f t="shared" si="17"/>
        <v>144.89132048855896</v>
      </c>
      <c r="P116" s="89">
        <f t="shared" si="17"/>
        <v>154.31407954898643</v>
      </c>
      <c r="R116" s="89">
        <f t="shared" si="11"/>
        <v>0.78839190556010796</v>
      </c>
      <c r="S116" s="91">
        <v>104</v>
      </c>
      <c r="T116" s="89">
        <f t="shared" si="12"/>
        <v>81.467766755013798</v>
      </c>
      <c r="U116" s="89">
        <f t="shared" si="13"/>
        <v>103.33409841027674</v>
      </c>
      <c r="V116" s="89">
        <f t="shared" si="14"/>
        <v>128.80390792721767</v>
      </c>
      <c r="X116" s="86">
        <f t="shared" si="15"/>
        <v>10746.746234668781</v>
      </c>
    </row>
    <row r="117" spans="2:24" x14ac:dyDescent="0.25">
      <c r="B117" s="86">
        <v>105</v>
      </c>
      <c r="C117" s="89">
        <f t="shared" si="17"/>
        <v>71.428230303019973</v>
      </c>
      <c r="D117" s="89">
        <f t="shared" si="17"/>
        <v>74.252029577962944</v>
      </c>
      <c r="E117" s="89">
        <f t="shared" si="17"/>
        <v>78.536400755983706</v>
      </c>
      <c r="F117" s="90">
        <f t="shared" si="17"/>
        <v>82.353742271172479</v>
      </c>
      <c r="G117" s="89">
        <f t="shared" si="17"/>
        <v>86.909274154243292</v>
      </c>
      <c r="H117" s="89">
        <f t="shared" si="17"/>
        <v>94.896793107349126</v>
      </c>
      <c r="I117" s="90">
        <f t="shared" si="17"/>
        <v>104.33409107334961</v>
      </c>
      <c r="J117" s="89">
        <f t="shared" si="17"/>
        <v>114.37760962703996</v>
      </c>
      <c r="K117" s="89">
        <f t="shared" si="17"/>
        <v>123.94688282982615</v>
      </c>
      <c r="L117" s="90">
        <f t="shared" si="17"/>
        <v>129.91795528622893</v>
      </c>
      <c r="M117" s="89">
        <f t="shared" si="17"/>
        <v>135.24698697465377</v>
      </c>
      <c r="N117" s="89">
        <f t="shared" si="17"/>
        <v>141.62011103545771</v>
      </c>
      <c r="O117" s="89">
        <f t="shared" si="17"/>
        <v>146.06959531343031</v>
      </c>
      <c r="P117" s="89">
        <f t="shared" si="17"/>
        <v>155.5276771810864</v>
      </c>
      <c r="R117" s="89">
        <f t="shared" si="11"/>
        <v>0.78932726038007683</v>
      </c>
      <c r="S117" s="91">
        <v>105</v>
      </c>
      <c r="T117" s="89">
        <f t="shared" si="12"/>
        <v>82.353742271172479</v>
      </c>
      <c r="U117" s="89">
        <f t="shared" si="13"/>
        <v>104.33409107334961</v>
      </c>
      <c r="V117" s="89">
        <f t="shared" si="14"/>
        <v>129.91795528622893</v>
      </c>
      <c r="X117" s="86">
        <f t="shared" si="15"/>
        <v>10955.079562701709</v>
      </c>
    </row>
    <row r="118" spans="2:24" x14ac:dyDescent="0.25">
      <c r="B118" s="86">
        <v>106</v>
      </c>
      <c r="C118" s="89">
        <f t="shared" ref="C118:P136" si="19">CHIINV(C$12,$B118)</f>
        <v>72.250949406000828</v>
      </c>
      <c r="D118" s="89">
        <f t="shared" si="19"/>
        <v>75.091797519809433</v>
      </c>
      <c r="E118" s="89">
        <f t="shared" si="19"/>
        <v>79.401273864714938</v>
      </c>
      <c r="F118" s="90">
        <f t="shared" si="19"/>
        <v>83.240261747579623</v>
      </c>
      <c r="G118" s="89">
        <f t="shared" si="19"/>
        <v>87.820801025237486</v>
      </c>
      <c r="H118" s="89">
        <f t="shared" si="19"/>
        <v>95.850193269393543</v>
      </c>
      <c r="I118" s="90">
        <f t="shared" si="19"/>
        <v>105.33408387579998</v>
      </c>
      <c r="J118" s="89">
        <f t="shared" si="19"/>
        <v>115.42419851010604</v>
      </c>
      <c r="K118" s="89">
        <f t="shared" si="19"/>
        <v>125.03535923172883</v>
      </c>
      <c r="L118" s="90">
        <f t="shared" si="19"/>
        <v>131.0314582500487</v>
      </c>
      <c r="M118" s="89">
        <f t="shared" si="19"/>
        <v>136.38216348174578</v>
      </c>
      <c r="N118" s="89">
        <f t="shared" si="19"/>
        <v>142.78044164704383</v>
      </c>
      <c r="O118" s="89">
        <f t="shared" si="19"/>
        <v>147.24702198823169</v>
      </c>
      <c r="P118" s="89">
        <f t="shared" si="19"/>
        <v>156.74026103315308</v>
      </c>
      <c r="R118" s="89">
        <f t="shared" si="11"/>
        <v>0.79025001865235467</v>
      </c>
      <c r="S118" s="91">
        <v>106</v>
      </c>
      <c r="T118" s="89">
        <f t="shared" si="12"/>
        <v>83.240261747579623</v>
      </c>
      <c r="U118" s="89">
        <f t="shared" si="13"/>
        <v>105.33408387579998</v>
      </c>
      <c r="V118" s="89">
        <f t="shared" si="14"/>
        <v>131.0314582500487</v>
      </c>
      <c r="X118" s="86">
        <f t="shared" si="15"/>
        <v>11165.412890834798</v>
      </c>
    </row>
    <row r="119" spans="2:24" x14ac:dyDescent="0.25">
      <c r="B119" s="86">
        <v>107</v>
      </c>
      <c r="C119" s="89">
        <f t="shared" si="19"/>
        <v>73.074501924955598</v>
      </c>
      <c r="D119" s="89">
        <f t="shared" si="19"/>
        <v>75.932319963004559</v>
      </c>
      <c r="E119" s="89">
        <f t="shared" si="19"/>
        <v>80.266784574134022</v>
      </c>
      <c r="F119" s="90">
        <f t="shared" si="19"/>
        <v>84.127317473863457</v>
      </c>
      <c r="G119" s="89">
        <f t="shared" si="19"/>
        <v>88.732746549307763</v>
      </c>
      <c r="H119" s="89">
        <f t="shared" si="19"/>
        <v>96.80381430876028</v>
      </c>
      <c r="I119" s="90">
        <f t="shared" si="19"/>
        <v>106.33407681369376</v>
      </c>
      <c r="J119" s="89">
        <f t="shared" si="19"/>
        <v>116.4705667218438</v>
      </c>
      <c r="K119" s="89">
        <f t="shared" si="19"/>
        <v>126.12341691854816</v>
      </c>
      <c r="L119" s="90">
        <f t="shared" si="19"/>
        <v>132.14442454133663</v>
      </c>
      <c r="M119" s="89">
        <f t="shared" si="19"/>
        <v>137.51670145457928</v>
      </c>
      <c r="N119" s="89">
        <f t="shared" si="19"/>
        <v>143.94001590445717</v>
      </c>
      <c r="O119" s="89">
        <f t="shared" si="19"/>
        <v>148.42361250788704</v>
      </c>
      <c r="P119" s="89">
        <f t="shared" si="19"/>
        <v>157.95184541147285</v>
      </c>
      <c r="R119" s="89">
        <f t="shared" si="11"/>
        <v>0.7911604632752075</v>
      </c>
      <c r="S119" s="91">
        <v>107</v>
      </c>
      <c r="T119" s="89">
        <f t="shared" si="12"/>
        <v>84.127317473863457</v>
      </c>
      <c r="U119" s="89">
        <f t="shared" si="13"/>
        <v>106.33407681369376</v>
      </c>
      <c r="V119" s="89">
        <f t="shared" si="14"/>
        <v>132.14442454133663</v>
      </c>
      <c r="X119" s="86">
        <f t="shared" si="15"/>
        <v>11377.746219065231</v>
      </c>
    </row>
    <row r="120" spans="2:24" x14ac:dyDescent="0.25">
      <c r="B120" s="86">
        <v>108</v>
      </c>
      <c r="C120" s="89">
        <f t="shared" si="19"/>
        <v>73.898876221593625</v>
      </c>
      <c r="D120" s="89">
        <f t="shared" si="19"/>
        <v>76.773586352718553</v>
      </c>
      <c r="E120" s="89">
        <f t="shared" si="19"/>
        <v>81.132923945089502</v>
      </c>
      <c r="F120" s="90">
        <f t="shared" si="19"/>
        <v>85.014901920077804</v>
      </c>
      <c r="G120" s="89">
        <f t="shared" si="19"/>
        <v>89.645104839237788</v>
      </c>
      <c r="H120" s="89">
        <f t="shared" si="19"/>
        <v>97.757653113840362</v>
      </c>
      <c r="I120" s="90">
        <f t="shared" si="19"/>
        <v>107.33406988324356</v>
      </c>
      <c r="J120" s="89">
        <f t="shared" si="19"/>
        <v>117.51671736810637</v>
      </c>
      <c r="K120" s="89">
        <f t="shared" si="19"/>
        <v>127.21106177924611</v>
      </c>
      <c r="L120" s="90">
        <f t="shared" si="19"/>
        <v>133.25686170186819</v>
      </c>
      <c r="M120" s="89">
        <f t="shared" si="19"/>
        <v>138.65060985840847</v>
      </c>
      <c r="N120" s="89">
        <f t="shared" si="19"/>
        <v>145.09884441428903</v>
      </c>
      <c r="O120" s="89">
        <f t="shared" si="19"/>
        <v>149.59937858716819</v>
      </c>
      <c r="P120" s="89">
        <f t="shared" si="19"/>
        <v>159.16244428886563</v>
      </c>
      <c r="R120" s="89">
        <f t="shared" si="11"/>
        <v>0.792058868284374</v>
      </c>
      <c r="S120" s="91">
        <v>108</v>
      </c>
      <c r="T120" s="89">
        <f t="shared" si="12"/>
        <v>85.014901920077804</v>
      </c>
      <c r="U120" s="89">
        <f t="shared" si="13"/>
        <v>107.33406988324356</v>
      </c>
      <c r="V120" s="89">
        <f t="shared" si="14"/>
        <v>133.25686170186819</v>
      </c>
      <c r="X120" s="86">
        <f t="shared" si="15"/>
        <v>11592.079547390304</v>
      </c>
    </row>
    <row r="121" spans="2:24" x14ac:dyDescent="0.25">
      <c r="B121" s="86">
        <v>109</v>
      </c>
      <c r="C121" s="89">
        <f t="shared" si="19"/>
        <v>74.72406092587795</v>
      </c>
      <c r="D121" s="89">
        <f t="shared" si="19"/>
        <v>77.615586377855749</v>
      </c>
      <c r="E121" s="89">
        <f t="shared" si="19"/>
        <v>81.999683245332903</v>
      </c>
      <c r="F121" s="90">
        <f t="shared" si="19"/>
        <v>85.90300773084671</v>
      </c>
      <c r="G121" s="89">
        <f t="shared" si="19"/>
        <v>90.557870144504136</v>
      </c>
      <c r="H121" s="89">
        <f t="shared" si="19"/>
        <v>98.711706645408483</v>
      </c>
      <c r="I121" s="90">
        <f t="shared" si="19"/>
        <v>108.33406308080193</v>
      </c>
      <c r="J121" s="89">
        <f t="shared" si="19"/>
        <v>118.56265348257566</v>
      </c>
      <c r="K121" s="89">
        <f t="shared" si="19"/>
        <v>128.29829956602683</v>
      </c>
      <c r="L121" s="90">
        <f t="shared" si="19"/>
        <v>134.36877709841121</v>
      </c>
      <c r="M121" s="89">
        <f t="shared" si="19"/>
        <v>139.78389745062054</v>
      </c>
      <c r="N121" s="89">
        <f t="shared" si="19"/>
        <v>146.25693753748629</v>
      </c>
      <c r="O121" s="89">
        <f t="shared" si="19"/>
        <v>150.77433166977207</v>
      </c>
      <c r="P121" s="89">
        <f t="shared" si="19"/>
        <v>160.37207131546975</v>
      </c>
      <c r="R121" s="89">
        <f t="shared" si="11"/>
        <v>0.79294549920808555</v>
      </c>
      <c r="S121" s="91">
        <v>109</v>
      </c>
      <c r="T121" s="89">
        <f t="shared" si="12"/>
        <v>85.90300773084671</v>
      </c>
      <c r="U121" s="89">
        <f t="shared" si="13"/>
        <v>108.33406308080193</v>
      </c>
      <c r="V121" s="89">
        <f t="shared" si="14"/>
        <v>134.36877709841121</v>
      </c>
      <c r="X121" s="86">
        <f t="shared" si="15"/>
        <v>11808.412875807409</v>
      </c>
    </row>
    <row r="122" spans="2:24" x14ac:dyDescent="0.25">
      <c r="B122" s="86">
        <v>110</v>
      </c>
      <c r="C122" s="89">
        <f t="shared" si="19"/>
        <v>75.550044927452134</v>
      </c>
      <c r="D122" s="89">
        <f t="shared" si="19"/>
        <v>78.458309963249206</v>
      </c>
      <c r="E122" s="89">
        <f t="shared" si="19"/>
        <v>82.867053942876964</v>
      </c>
      <c r="F122" s="90">
        <f t="shared" si="19"/>
        <v>86.791627719751034</v>
      </c>
      <c r="G122" s="89">
        <f t="shared" si="19"/>
        <v>91.471036846873957</v>
      </c>
      <c r="H122" s="89">
        <f t="shared" si="19"/>
        <v>99.665971934287271</v>
      </c>
      <c r="I122" s="90">
        <f t="shared" si="19"/>
        <v>109.33405640285481</v>
      </c>
      <c r="J122" s="89">
        <f t="shared" si="19"/>
        <v>119.60837802908834</v>
      </c>
      <c r="K122" s="89">
        <f t="shared" si="19"/>
        <v>129.38513589874199</v>
      </c>
      <c r="L122" s="90">
        <f t="shared" si="19"/>
        <v>135.48017792835952</v>
      </c>
      <c r="M122" s="89">
        <f t="shared" si="19"/>
        <v>140.91657278742142</v>
      </c>
      <c r="N122" s="89">
        <f t="shared" si="19"/>
        <v>147.41430539724422</v>
      </c>
      <c r="O122" s="89">
        <f t="shared" si="19"/>
        <v>151.94848293702353</v>
      </c>
      <c r="P122" s="89">
        <f t="shared" si="19"/>
        <v>161.58073982908178</v>
      </c>
      <c r="R122" s="89">
        <f t="shared" si="11"/>
        <v>0.79382061340481669</v>
      </c>
      <c r="S122" s="91">
        <v>110</v>
      </c>
      <c r="T122" s="89">
        <f t="shared" si="12"/>
        <v>86.791627719751034</v>
      </c>
      <c r="U122" s="89">
        <f t="shared" si="13"/>
        <v>109.33405640285481</v>
      </c>
      <c r="V122" s="89">
        <f t="shared" si="14"/>
        <v>135.48017792835952</v>
      </c>
      <c r="X122" s="86">
        <f t="shared" si="15"/>
        <v>12026.746204314029</v>
      </c>
    </row>
    <row r="123" spans="2:24" x14ac:dyDescent="0.25">
      <c r="B123" s="86">
        <v>111</v>
      </c>
      <c r="C123" s="89">
        <f t="shared" si="19"/>
        <v>76.376817367414986</v>
      </c>
      <c r="D123" s="89">
        <f t="shared" si="19"/>
        <v>79.301747262174104</v>
      </c>
      <c r="E123" s="89">
        <f t="shared" si="19"/>
        <v>83.735027699625277</v>
      </c>
      <c r="F123" s="90">
        <f t="shared" si="19"/>
        <v>87.680754863945083</v>
      </c>
      <c r="G123" s="89">
        <f t="shared" si="19"/>
        <v>92.384599456183338</v>
      </c>
      <c r="H123" s="89">
        <f t="shared" si="19"/>
        <v>100.62044607910758</v>
      </c>
      <c r="I123" s="90">
        <f t="shared" si="19"/>
        <v>110.33404984601573</v>
      </c>
      <c r="J123" s="89">
        <f t="shared" si="19"/>
        <v>120.65389390386649</v>
      </c>
      <c r="K123" s="89">
        <f t="shared" si="19"/>
        <v>130.47157626911522</v>
      </c>
      <c r="L123" s="90">
        <f t="shared" si="19"/>
        <v>136.59107122513501</v>
      </c>
      <c r="M123" s="89">
        <f t="shared" si="19"/>
        <v>142.04864423024782</v>
      </c>
      <c r="N123" s="89">
        <f t="shared" si="19"/>
        <v>148.57095788657577</v>
      </c>
      <c r="O123" s="89">
        <f t="shared" si="19"/>
        <v>153.12184331622169</v>
      </c>
      <c r="P123" s="89">
        <f t="shared" si="19"/>
        <v>162.78846286507451</v>
      </c>
      <c r="R123" s="89">
        <f t="shared" si="11"/>
        <v>0.79468446038474971</v>
      </c>
      <c r="S123" s="91">
        <v>111</v>
      </c>
      <c r="T123" s="89">
        <f t="shared" si="12"/>
        <v>87.680754863945083</v>
      </c>
      <c r="U123" s="89">
        <f t="shared" si="13"/>
        <v>110.33404984601573</v>
      </c>
      <c r="V123" s="89">
        <f t="shared" si="14"/>
        <v>136.59107122513501</v>
      </c>
      <c r="X123" s="86">
        <f t="shared" si="15"/>
        <v>12247.079532907746</v>
      </c>
    </row>
    <row r="124" spans="2:24" x14ac:dyDescent="0.25">
      <c r="B124" s="86">
        <v>112</v>
      </c>
      <c r="C124" s="89">
        <f t="shared" si="19"/>
        <v>77.204367630427967</v>
      </c>
      <c r="D124" s="89">
        <f t="shared" si="19"/>
        <v>80.145888649163155</v>
      </c>
      <c r="E124" s="89">
        <f t="shared" si="19"/>
        <v>84.603596365260415</v>
      </c>
      <c r="F124" s="90">
        <f t="shared" si="19"/>
        <v>88.570382298991603</v>
      </c>
      <c r="G124" s="89">
        <f t="shared" si="19"/>
        <v>93.298552606287203</v>
      </c>
      <c r="H124" s="89">
        <f t="shared" si="19"/>
        <v>101.57512624415997</v>
      </c>
      <c r="I124" s="90">
        <f t="shared" si="19"/>
        <v>111.33404340701982</v>
      </c>
      <c r="J124" s="89">
        <f t="shared" si="19"/>
        <v>121.69920393765727</v>
      </c>
      <c r="K124" s="89">
        <f t="shared" si="19"/>
        <v>131.5576260447948</v>
      </c>
      <c r="L124" s="90">
        <f t="shared" si="19"/>
        <v>137.70146386337072</v>
      </c>
      <c r="M124" s="89">
        <f t="shared" si="19"/>
        <v>143.18011995191875</v>
      </c>
      <c r="N124" s="89">
        <f t="shared" si="19"/>
        <v>149.72690467557402</v>
      </c>
      <c r="O124" s="89">
        <f t="shared" si="19"/>
        <v>154.29442348864828</v>
      </c>
      <c r="P124" s="89">
        <f t="shared" si="19"/>
        <v>163.99525316591331</v>
      </c>
      <c r="R124" s="89">
        <f t="shared" si="11"/>
        <v>0.79553728211587682</v>
      </c>
      <c r="S124" s="91">
        <v>112</v>
      </c>
      <c r="T124" s="89">
        <f t="shared" si="12"/>
        <v>88.570382298991603</v>
      </c>
      <c r="U124" s="89">
        <f t="shared" si="13"/>
        <v>111.33404340701982</v>
      </c>
      <c r="V124" s="89">
        <f t="shared" si="14"/>
        <v>137.70146386337072</v>
      </c>
      <c r="X124" s="86">
        <f t="shared" si="15"/>
        <v>12469.412861586219</v>
      </c>
    </row>
    <row r="125" spans="2:24" x14ac:dyDescent="0.25">
      <c r="B125" s="86">
        <v>113</v>
      </c>
      <c r="C125" s="89">
        <f t="shared" si="19"/>
        <v>78.032685337137778</v>
      </c>
      <c r="D125" s="89">
        <f t="shared" si="19"/>
        <v>80.990724713110453</v>
      </c>
      <c r="E125" s="89">
        <f t="shared" si="19"/>
        <v>85.472751971377178</v>
      </c>
      <c r="F125" s="90">
        <f t="shared" si="19"/>
        <v>89.460503313904752</v>
      </c>
      <c r="G125" s="89">
        <f t="shared" si="19"/>
        <v>94.212891051172548</v>
      </c>
      <c r="H125" s="89">
        <f t="shared" si="19"/>
        <v>102.530009657333</v>
      </c>
      <c r="I125" s="90">
        <f t="shared" si="19"/>
        <v>112.33403708271857</v>
      </c>
      <c r="J125" s="89">
        <f t="shared" si="19"/>
        <v>122.74431089778656</v>
      </c>
      <c r="K125" s="89">
        <f t="shared" si="19"/>
        <v>132.64329047324318</v>
      </c>
      <c r="L125" s="90">
        <f t="shared" si="19"/>
        <v>138.8113625638847</v>
      </c>
      <c r="M125" s="89">
        <f t="shared" si="19"/>
        <v>144.31100794253948</v>
      </c>
      <c r="N125" s="89">
        <f t="shared" si="19"/>
        <v>150.88215521838262</v>
      </c>
      <c r="O125" s="89">
        <f t="shared" si="19"/>
        <v>155.46623389725428</v>
      </c>
      <c r="P125" s="89">
        <f t="shared" si="19"/>
        <v>165.20112319029127</v>
      </c>
      <c r="R125" s="89">
        <f t="shared" si="11"/>
        <v>0.79637931331560174</v>
      </c>
      <c r="S125" s="91">
        <v>113</v>
      </c>
      <c r="T125" s="89">
        <f t="shared" si="12"/>
        <v>89.460503313904752</v>
      </c>
      <c r="U125" s="89">
        <f t="shared" si="13"/>
        <v>112.33403708271857</v>
      </c>
      <c r="V125" s="89">
        <f t="shared" si="14"/>
        <v>138.8113625638847</v>
      </c>
      <c r="X125" s="86">
        <f t="shared" si="15"/>
        <v>12693.746190347198</v>
      </c>
    </row>
    <row r="126" spans="2:24" x14ac:dyDescent="0.25">
      <c r="B126" s="86">
        <v>114</v>
      </c>
      <c r="C126" s="89">
        <f t="shared" si="19"/>
        <v>78.861760336899167</v>
      </c>
      <c r="D126" s="89">
        <f t="shared" si="19"/>
        <v>81.836246250648628</v>
      </c>
      <c r="E126" s="89">
        <f t="shared" si="19"/>
        <v>86.342486725849483</v>
      </c>
      <c r="F126" s="90">
        <f t="shared" si="19"/>
        <v>90.351111346390539</v>
      </c>
      <c r="G126" s="89">
        <f t="shared" si="19"/>
        <v>95.127609661226757</v>
      </c>
      <c r="H126" s="89">
        <f t="shared" si="19"/>
        <v>103.48509360813389</v>
      </c>
      <c r="I126" s="90">
        <f t="shared" si="19"/>
        <v>113.33403087007463</v>
      </c>
      <c r="J126" s="89">
        <f t="shared" si="19"/>
        <v>123.78921749013035</v>
      </c>
      <c r="K126" s="89">
        <f t="shared" si="19"/>
        <v>133.72857468547082</v>
      </c>
      <c r="L126" s="90">
        <f t="shared" si="19"/>
        <v>139.92077389845574</v>
      </c>
      <c r="M126" s="89">
        <f t="shared" si="19"/>
        <v>145.44131601516989</v>
      </c>
      <c r="N126" s="89">
        <f t="shared" si="19"/>
        <v>152.0367187598882</v>
      </c>
      <c r="O126" s="89">
        <f t="shared" si="19"/>
        <v>156.63728475404002</v>
      </c>
      <c r="P126" s="89">
        <f t="shared" si="19"/>
        <v>166.40608512190053</v>
      </c>
      <c r="R126" s="89">
        <f t="shared" si="11"/>
        <v>0.79721078172864468</v>
      </c>
      <c r="S126" s="91">
        <v>114</v>
      </c>
      <c r="T126" s="89">
        <f t="shared" si="12"/>
        <v>90.351111346390539</v>
      </c>
      <c r="U126" s="89">
        <f t="shared" si="13"/>
        <v>113.33403087007463</v>
      </c>
      <c r="V126" s="89">
        <f t="shared" si="14"/>
        <v>139.92077389845574</v>
      </c>
      <c r="X126" s="86">
        <f t="shared" si="15"/>
        <v>12920.079519188508</v>
      </c>
    </row>
    <row r="127" spans="2:24" x14ac:dyDescent="0.25">
      <c r="B127" s="86">
        <v>115</v>
      </c>
      <c r="C127" s="89">
        <f t="shared" si="19"/>
        <v>79.691582700783968</v>
      </c>
      <c r="D127" s="89">
        <f t="shared" si="19"/>
        <v>82.68244425978726</v>
      </c>
      <c r="E127" s="89">
        <f t="shared" si="19"/>
        <v>87.212793007419748</v>
      </c>
      <c r="F127" s="90">
        <f t="shared" si="19"/>
        <v>91.242199978275579</v>
      </c>
      <c r="G127" s="89">
        <f t="shared" si="19"/>
        <v>96.042703419653677</v>
      </c>
      <c r="H127" s="89">
        <f t="shared" si="19"/>
        <v>104.44037544578791</v>
      </c>
      <c r="I127" s="90">
        <f t="shared" si="19"/>
        <v>114.33402476615696</v>
      </c>
      <c r="J127" s="89">
        <f t="shared" si="19"/>
        <v>124.83392636100812</v>
      </c>
      <c r="K127" s="89">
        <f t="shared" si="19"/>
        <v>134.81348369962248</v>
      </c>
      <c r="L127" s="90">
        <f t="shared" si="19"/>
        <v>141.02970429440973</v>
      </c>
      <c r="M127" s="89">
        <f t="shared" si="19"/>
        <v>146.571051811269</v>
      </c>
      <c r="N127" s="89">
        <f t="shared" si="19"/>
        <v>153.19060434214893</v>
      </c>
      <c r="O127" s="89">
        <f t="shared" si="19"/>
        <v>157.80758604714453</v>
      </c>
      <c r="P127" s="89">
        <f t="shared" si="19"/>
        <v>167.61015087785862</v>
      </c>
      <c r="R127" s="89">
        <f t="shared" si="11"/>
        <v>0.7980319083920101</v>
      </c>
      <c r="S127" s="91">
        <v>115</v>
      </c>
      <c r="T127" s="89">
        <f t="shared" si="12"/>
        <v>91.242199978275579</v>
      </c>
      <c r="U127" s="89">
        <f t="shared" si="13"/>
        <v>114.33402476615696</v>
      </c>
      <c r="V127" s="89">
        <f t="shared" si="14"/>
        <v>141.02970429440973</v>
      </c>
      <c r="X127" s="86">
        <f t="shared" si="15"/>
        <v>13148.41284810805</v>
      </c>
    </row>
    <row r="128" spans="2:24" x14ac:dyDescent="0.25">
      <c r="B128" s="86">
        <v>116</v>
      </c>
      <c r="C128" s="89">
        <f t="shared" si="19"/>
        <v>80.522142714862269</v>
      </c>
      <c r="D128" s="89">
        <f t="shared" si="19"/>
        <v>83.529309933799027</v>
      </c>
      <c r="E128" s="89">
        <f t="shared" si="19"/>
        <v>88.0836633604995</v>
      </c>
      <c r="F128" s="90">
        <f t="shared" si="19"/>
        <v>92.133762931114845</v>
      </c>
      <c r="G128" s="89">
        <f t="shared" si="19"/>
        <v>96.958167419030488</v>
      </c>
      <c r="H128" s="89">
        <f t="shared" si="19"/>
        <v>105.39585257741224</v>
      </c>
      <c r="I128" s="90">
        <f t="shared" si="19"/>
        <v>115.33401876813619</v>
      </c>
      <c r="J128" s="89">
        <f t="shared" si="19"/>
        <v>125.87844009900184</v>
      </c>
      <c r="K128" s="89">
        <f t="shared" si="19"/>
        <v>135.89802242442258</v>
      </c>
      <c r="L128" s="90">
        <f t="shared" si="19"/>
        <v>142.13816003902647</v>
      </c>
      <c r="M128" s="89">
        <f t="shared" si="19"/>
        <v>147.70022280592565</v>
      </c>
      <c r="N128" s="89">
        <f t="shared" si="19"/>
        <v>154.34382081057058</v>
      </c>
      <c r="O128" s="89">
        <f t="shared" si="19"/>
        <v>158.97714754765707</v>
      </c>
      <c r="P128" s="89">
        <f t="shared" si="19"/>
        <v>168.81333211680524</v>
      </c>
      <c r="R128" s="89">
        <f t="shared" si="11"/>
        <v>0.7988429078877205</v>
      </c>
      <c r="S128" s="91">
        <v>116</v>
      </c>
      <c r="T128" s="89">
        <f t="shared" si="12"/>
        <v>92.133762931114845</v>
      </c>
      <c r="U128" s="89">
        <f t="shared" si="13"/>
        <v>115.33401876813619</v>
      </c>
      <c r="V128" s="89">
        <f t="shared" si="14"/>
        <v>142.13816003902647</v>
      </c>
      <c r="X128" s="86">
        <f t="shared" si="15"/>
        <v>13378.746177103798</v>
      </c>
    </row>
    <row r="129" spans="2:24" x14ac:dyDescent="0.25">
      <c r="B129" s="86">
        <v>117</v>
      </c>
      <c r="C129" s="89">
        <f t="shared" si="19"/>
        <v>81.35343087374288</v>
      </c>
      <c r="D129" s="89">
        <f t="shared" si="19"/>
        <v>84.376834655342662</v>
      </c>
      <c r="E129" s="89">
        <f t="shared" si="19"/>
        <v>88.955090490172054</v>
      </c>
      <c r="F129" s="90">
        <f t="shared" si="19"/>
        <v>93.025794061969933</v>
      </c>
      <c r="G129" s="89">
        <f t="shared" si="19"/>
        <v>97.873996857998165</v>
      </c>
      <c r="H129" s="89">
        <f t="shared" si="19"/>
        <v>106.35152246626124</v>
      </c>
      <c r="I129" s="90">
        <f t="shared" si="19"/>
        <v>116.3340128732803</v>
      </c>
      <c r="J129" s="89">
        <f t="shared" si="19"/>
        <v>126.92276123670419</v>
      </c>
      <c r="K129" s="89">
        <f t="shared" si="19"/>
        <v>136.98219566248659</v>
      </c>
      <c r="L129" s="90">
        <f t="shared" si="19"/>
        <v>143.24614728377486</v>
      </c>
      <c r="M129" s="89">
        <f t="shared" si="19"/>
        <v>148.82883631288632</v>
      </c>
      <c r="N129" s="89">
        <f t="shared" si="19"/>
        <v>155.4963768198437</v>
      </c>
      <c r="O129" s="89">
        <f t="shared" si="19"/>
        <v>160.14597881616487</v>
      </c>
      <c r="P129" s="89">
        <f t="shared" si="19"/>
        <v>170.01564024668565</v>
      </c>
      <c r="R129" s="89">
        <f t="shared" si="11"/>
        <v>0.79964398858398</v>
      </c>
      <c r="S129" s="91">
        <v>117</v>
      </c>
      <c r="T129" s="89">
        <f t="shared" si="12"/>
        <v>93.025794061969933</v>
      </c>
      <c r="U129" s="89">
        <f t="shared" si="13"/>
        <v>116.3340128732803</v>
      </c>
      <c r="V129" s="89">
        <f t="shared" si="14"/>
        <v>143.24614728377486</v>
      </c>
      <c r="X129" s="86">
        <f t="shared" si="15"/>
        <v>13611.079506173795</v>
      </c>
    </row>
    <row r="130" spans="2:24" x14ac:dyDescent="0.25">
      <c r="B130" s="86">
        <v>118</v>
      </c>
      <c r="C130" s="89">
        <f t="shared" si="19"/>
        <v>82.185437874361284</v>
      </c>
      <c r="D130" s="89">
        <f t="shared" si="19"/>
        <v>85.225009990811415</v>
      </c>
      <c r="E130" s="89">
        <f t="shared" si="19"/>
        <v>89.827067257386886</v>
      </c>
      <c r="F130" s="90">
        <f t="shared" si="19"/>
        <v>93.918287359350074</v>
      </c>
      <c r="G130" s="89">
        <f t="shared" si="19"/>
        <v>98.790187038079949</v>
      </c>
      <c r="H130" s="89">
        <f t="shared" si="19"/>
        <v>107.3073826300393</v>
      </c>
      <c r="I130" s="90">
        <f t="shared" si="19"/>
        <v>117.33400707895045</v>
      </c>
      <c r="J130" s="89">
        <f t="shared" si="19"/>
        <v>127.96689225239935</v>
      </c>
      <c r="K130" s="89">
        <f t="shared" si="19"/>
        <v>138.06600811350464</v>
      </c>
      <c r="L130" s="90">
        <f t="shared" si="19"/>
        <v>144.35367204838508</v>
      </c>
      <c r="M130" s="89">
        <f t="shared" si="19"/>
        <v>149.95689948938914</v>
      </c>
      <c r="N130" s="89">
        <f t="shared" si="19"/>
        <v>156.64828083965182</v>
      </c>
      <c r="O130" s="89">
        <f t="shared" si="19"/>
        <v>161.3140892090484</v>
      </c>
      <c r="P130" s="89">
        <f t="shared" si="19"/>
        <v>171.21708643223531</v>
      </c>
      <c r="R130" s="89">
        <f t="shared" si="11"/>
        <v>0.80043535286539169</v>
      </c>
      <c r="S130" s="91">
        <v>118</v>
      </c>
      <c r="T130" s="89">
        <f t="shared" si="12"/>
        <v>93.918287359350074</v>
      </c>
      <c r="U130" s="89">
        <f t="shared" si="13"/>
        <v>117.33400707895045</v>
      </c>
      <c r="V130" s="89">
        <f t="shared" si="14"/>
        <v>144.35367204838508</v>
      </c>
      <c r="X130" s="86">
        <f t="shared" si="15"/>
        <v>13845.412835316152</v>
      </c>
    </row>
    <row r="131" spans="2:24" x14ac:dyDescent="0.25">
      <c r="B131" s="86">
        <v>119</v>
      </c>
      <c r="C131" s="89">
        <f t="shared" si="19"/>
        <v>83.018154610003378</v>
      </c>
      <c r="D131" s="89">
        <f t="shared" si="19"/>
        <v>86.073827684896145</v>
      </c>
      <c r="E131" s="89">
        <f t="shared" si="19"/>
        <v>90.699586674337652</v>
      </c>
      <c r="F131" s="90">
        <f t="shared" si="19"/>
        <v>94.811236939308074</v>
      </c>
      <c r="G131" s="89">
        <f t="shared" si="19"/>
        <v>99.7067333606213</v>
      </c>
      <c r="H131" s="89">
        <f t="shared" si="19"/>
        <v>108.26343063927851</v>
      </c>
      <c r="I131" s="90">
        <f t="shared" si="19"/>
        <v>118.33400138259701</v>
      </c>
      <c r="J131" s="89">
        <f t="shared" si="19"/>
        <v>129.01083557167931</v>
      </c>
      <c r="K131" s="89">
        <f t="shared" si="19"/>
        <v>139.14946437730339</v>
      </c>
      <c r="L131" s="90">
        <f t="shared" si="19"/>
        <v>145.46074022476486</v>
      </c>
      <c r="M131" s="89">
        <f t="shared" si="19"/>
        <v>151.08441934081313</v>
      </c>
      <c r="N131" s="89">
        <f t="shared" si="19"/>
        <v>157.79954116016174</v>
      </c>
      <c r="O131" s="89">
        <f t="shared" si="19"/>
        <v>162.48148788453753</v>
      </c>
      <c r="P131" s="89">
        <f t="shared" si="19"/>
        <v>172.41768160217921</v>
      </c>
      <c r="R131" s="89">
        <f t="shared" si="11"/>
        <v>0.80121719735281127</v>
      </c>
      <c r="S131" s="91">
        <v>119</v>
      </c>
      <c r="T131" s="89">
        <f t="shared" si="12"/>
        <v>94.811236939308074</v>
      </c>
      <c r="U131" s="89">
        <f t="shared" si="13"/>
        <v>118.33400138259701</v>
      </c>
      <c r="V131" s="89">
        <f t="shared" si="14"/>
        <v>145.46074022476486</v>
      </c>
      <c r="X131" s="86">
        <f t="shared" si="15"/>
        <v>14081.746164529044</v>
      </c>
    </row>
    <row r="132" spans="2:24" x14ac:dyDescent="0.25">
      <c r="B132" s="86">
        <v>120</v>
      </c>
      <c r="C132" s="89">
        <f t="shared" si="19"/>
        <v>83.851572164554156</v>
      </c>
      <c r="D132" s="89">
        <f t="shared" si="19"/>
        <v>86.923279655353866</v>
      </c>
      <c r="E132" s="89">
        <f t="shared" si="19"/>
        <v>91.572641900014531</v>
      </c>
      <c r="F132" s="90">
        <f t="shared" si="19"/>
        <v>95.704637041684038</v>
      </c>
      <c r="G132" s="89">
        <f t="shared" si="19"/>
        <v>100.62363132384581</v>
      </c>
      <c r="H132" s="89">
        <f t="shared" si="19"/>
        <v>109.21966411577789</v>
      </c>
      <c r="I132" s="90">
        <f t="shared" si="19"/>
        <v>119.33399578175585</v>
      </c>
      <c r="J132" s="89">
        <f t="shared" si="19"/>
        <v>130.05459356899905</v>
      </c>
      <c r="K132" s="89">
        <f t="shared" si="19"/>
        <v>140.23256895679179</v>
      </c>
      <c r="L132" s="90">
        <f t="shared" si="19"/>
        <v>146.56735758076744</v>
      </c>
      <c r="M132" s="89">
        <f t="shared" si="19"/>
        <v>152.21140272515154</v>
      </c>
      <c r="N132" s="89">
        <f t="shared" si="19"/>
        <v>158.95016589730622</v>
      </c>
      <c r="O132" s="89">
        <f t="shared" si="19"/>
        <v>163.64818380853757</v>
      </c>
      <c r="P132" s="89">
        <f t="shared" si="19"/>
        <v>173.61743645616014</v>
      </c>
      <c r="R132" s="89">
        <f t="shared" si="11"/>
        <v>0.80198971311338307</v>
      </c>
      <c r="S132" s="91">
        <v>120</v>
      </c>
      <c r="T132" s="89">
        <f t="shared" si="12"/>
        <v>95.704637041684038</v>
      </c>
      <c r="U132" s="89">
        <f t="shared" si="13"/>
        <v>119.33399578175585</v>
      </c>
      <c r="V132" s="89">
        <f t="shared" si="14"/>
        <v>146.56735758076744</v>
      </c>
      <c r="X132" s="86">
        <f t="shared" si="15"/>
        <v>14320.079493810701</v>
      </c>
    </row>
    <row r="133" spans="2:24" x14ac:dyDescent="0.25">
      <c r="B133" s="86">
        <v>121</v>
      </c>
      <c r="C133" s="89">
        <f t="shared" si="19"/>
        <v>84.685681806961284</v>
      </c>
      <c r="D133" s="89">
        <f t="shared" si="19"/>
        <v>87.773357987971792</v>
      </c>
      <c r="E133" s="89">
        <f t="shared" si="19"/>
        <v>92.446226235923589</v>
      </c>
      <c r="F133" s="90">
        <f t="shared" si="19"/>
        <v>96.598482026490146</v>
      </c>
      <c r="G133" s="89">
        <f t="shared" si="19"/>
        <v>101.54087652002201</v>
      </c>
      <c r="H133" s="89">
        <f t="shared" si="19"/>
        <v>110.17608073110135</v>
      </c>
      <c r="I133" s="90">
        <f t="shared" si="19"/>
        <v>120.33399027404478</v>
      </c>
      <c r="J133" s="89">
        <f t="shared" si="19"/>
        <v>131.0981685691732</v>
      </c>
      <c r="K133" s="89">
        <f t="shared" si="19"/>
        <v>141.31532626079596</v>
      </c>
      <c r="L133" s="90">
        <f t="shared" si="19"/>
        <v>147.67352976381807</v>
      </c>
      <c r="M133" s="89">
        <f t="shared" si="19"/>
        <v>153.33785635731704</v>
      </c>
      <c r="N133" s="89">
        <f t="shared" si="19"/>
        <v>160.10016299786875</v>
      </c>
      <c r="O133" s="89">
        <f t="shared" si="19"/>
        <v>164.81418576023793</v>
      </c>
      <c r="P133" s="89">
        <f t="shared" si="19"/>
        <v>174.81636147140676</v>
      </c>
      <c r="R133" s="89">
        <f t="shared" si="11"/>
        <v>0.80275308586127536</v>
      </c>
      <c r="S133" s="91">
        <v>121</v>
      </c>
      <c r="T133" s="89">
        <f t="shared" si="12"/>
        <v>96.598482026490146</v>
      </c>
      <c r="U133" s="89">
        <f t="shared" si="13"/>
        <v>120.33399027404478</v>
      </c>
      <c r="V133" s="89">
        <f t="shared" si="14"/>
        <v>147.67352976381807</v>
      </c>
      <c r="X133" s="86">
        <f t="shared" si="15"/>
        <v>14560.412823159419</v>
      </c>
    </row>
    <row r="134" spans="2:24" x14ac:dyDescent="0.25">
      <c r="B134" s="86">
        <v>122</v>
      </c>
      <c r="C134" s="89">
        <f t="shared" si="19"/>
        <v>85.520474985903661</v>
      </c>
      <c r="D134" s="89">
        <f t="shared" si="19"/>
        <v>88.624054931717794</v>
      </c>
      <c r="E134" s="89">
        <f t="shared" si="19"/>
        <v>93.320333121965078</v>
      </c>
      <c r="F134" s="90">
        <f t="shared" si="19"/>
        <v>97.492766370430019</v>
      </c>
      <c r="G134" s="89">
        <f t="shared" si="19"/>
        <v>102.45846463273568</v>
      </c>
      <c r="H134" s="89">
        <f t="shared" si="19"/>
        <v>111.13267820513187</v>
      </c>
      <c r="I134" s="90">
        <f t="shared" si="19"/>
        <v>121.3339848571602</v>
      </c>
      <c r="J134" s="89">
        <f t="shared" si="19"/>
        <v>132.14156284881653</v>
      </c>
      <c r="K134" s="89">
        <f t="shared" si="19"/>
        <v>142.39774060678846</v>
      </c>
      <c r="L134" s="90">
        <f t="shared" si="19"/>
        <v>148.77926230440488</v>
      </c>
      <c r="M134" s="89">
        <f t="shared" si="19"/>
        <v>154.46378681328667</v>
      </c>
      <c r="N134" s="89">
        <f t="shared" si="19"/>
        <v>161.24954024437847</v>
      </c>
      <c r="O134" s="89">
        <f t="shared" si="19"/>
        <v>165.97950233751141</v>
      </c>
      <c r="P134" s="89">
        <f t="shared" si="19"/>
        <v>176.01446690915466</v>
      </c>
      <c r="R134" s="89">
        <f t="shared" si="11"/>
        <v>0.80350749614959782</v>
      </c>
      <c r="S134" s="91">
        <v>122</v>
      </c>
      <c r="T134" s="89">
        <f t="shared" si="12"/>
        <v>97.492766370430019</v>
      </c>
      <c r="U134" s="89">
        <f t="shared" si="13"/>
        <v>121.3339848571602</v>
      </c>
      <c r="V134" s="89">
        <f t="shared" si="14"/>
        <v>148.77926230440488</v>
      </c>
      <c r="X134" s="86">
        <f t="shared" si="15"/>
        <v>14802.746152573545</v>
      </c>
    </row>
    <row r="135" spans="2:24" x14ac:dyDescent="0.25">
      <c r="B135" s="86">
        <v>123</v>
      </c>
      <c r="C135" s="89">
        <f t="shared" si="19"/>
        <v>86.355943324655144</v>
      </c>
      <c r="D135" s="89">
        <f t="shared" si="19"/>
        <v>89.475362894070273</v>
      </c>
      <c r="E135" s="89">
        <f t="shared" si="19"/>
        <v>94.194956132463915</v>
      </c>
      <c r="F135" s="90">
        <f t="shared" si="19"/>
        <v>98.387484663546672</v>
      </c>
      <c r="G135" s="89">
        <f t="shared" si="19"/>
        <v>103.37639143426304</v>
      </c>
      <c r="H135" s="89">
        <f t="shared" si="19"/>
        <v>112.08945430467917</v>
      </c>
      <c r="I135" s="90">
        <f t="shared" si="19"/>
        <v>122.33397952887385</v>
      </c>
      <c r="J135" s="89">
        <f t="shared" si="19"/>
        <v>133.18477863773168</v>
      </c>
      <c r="K135" s="89">
        <f t="shared" si="19"/>
        <v>143.47981622351656</v>
      </c>
      <c r="L135" s="90">
        <f t="shared" si="19"/>
        <v>149.88456061944137</v>
      </c>
      <c r="M135" s="89">
        <f t="shared" si="19"/>
        <v>155.58920053409346</v>
      </c>
      <c r="N135" s="89">
        <f t="shared" si="19"/>
        <v>162.39830525982489</v>
      </c>
      <c r="O135" s="89">
        <f t="shared" si="19"/>
        <v>167.1441419621147</v>
      </c>
      <c r="P135" s="89">
        <f t="shared" si="19"/>
        <v>177.21176282083087</v>
      </c>
      <c r="R135" s="89">
        <f t="shared" si="11"/>
        <v>0.80425311955395673</v>
      </c>
      <c r="S135" s="91">
        <v>123</v>
      </c>
      <c r="T135" s="89">
        <f t="shared" si="12"/>
        <v>98.387484663546672</v>
      </c>
      <c r="U135" s="89">
        <f t="shared" si="13"/>
        <v>122.33397952887385</v>
      </c>
      <c r="V135" s="89">
        <f t="shared" si="14"/>
        <v>149.88456061944137</v>
      </c>
      <c r="X135" s="86">
        <f t="shared" si="15"/>
        <v>15047.079482051484</v>
      </c>
    </row>
    <row r="136" spans="2:24" x14ac:dyDescent="0.25">
      <c r="B136" s="86">
        <v>124</v>
      </c>
      <c r="C136" s="89">
        <f t="shared" si="19"/>
        <v>87.192078616136641</v>
      </c>
      <c r="D136" s="89">
        <f t="shared" si="19"/>
        <v>90.327274436517257</v>
      </c>
      <c r="E136" s="89">
        <f t="shared" si="19"/>
        <v>95.070088972345161</v>
      </c>
      <c r="F136" s="90">
        <f t="shared" ref="D136:P155" si="20">CHIINV(F$12,$B136)</f>
        <v>99.282631605993288</v>
      </c>
      <c r="G136" s="89">
        <f t="shared" si="20"/>
        <v>104.29465278304039</v>
      </c>
      <c r="H136" s="89">
        <f t="shared" si="20"/>
        <v>113.04640684213861</v>
      </c>
      <c r="I136" s="90">
        <f t="shared" si="20"/>
        <v>123.33397428702975</v>
      </c>
      <c r="J136" s="89">
        <f t="shared" si="20"/>
        <v>134.22781812024544</v>
      </c>
      <c r="K136" s="89">
        <f t="shared" si="20"/>
        <v>144.56155725353409</v>
      </c>
      <c r="L136" s="90">
        <f t="shared" si="20"/>
        <v>150.98943001550484</v>
      </c>
      <c r="M136" s="89">
        <f t="shared" si="20"/>
        <v>156.71410382967215</v>
      </c>
      <c r="N136" s="89">
        <f t="shared" si="20"/>
        <v>163.54646551219997</v>
      </c>
      <c r="O136" s="89">
        <f t="shared" si="20"/>
        <v>168.30811288469897</v>
      </c>
      <c r="P136" s="89">
        <f t="shared" si="20"/>
        <v>178.40825905401258</v>
      </c>
      <c r="R136" s="89">
        <f t="shared" si="11"/>
        <v>0.80499012684807492</v>
      </c>
      <c r="S136" s="91">
        <v>124</v>
      </c>
      <c r="T136" s="89">
        <f t="shared" si="12"/>
        <v>99.282631605993288</v>
      </c>
      <c r="U136" s="89">
        <f t="shared" si="13"/>
        <v>123.33397428702975</v>
      </c>
      <c r="V136" s="89">
        <f t="shared" si="14"/>
        <v>150.98943001550484</v>
      </c>
      <c r="X136" s="86">
        <f t="shared" si="15"/>
        <v>15293.412811591688</v>
      </c>
    </row>
    <row r="137" spans="2:24" x14ac:dyDescent="0.25">
      <c r="B137" s="86">
        <v>125</v>
      </c>
      <c r="C137" s="89">
        <f t="shared" ref="C137:P172" si="21">CHIINV(C$12,$B137)</f>
        <v>88.028872818145686</v>
      </c>
      <c r="D137" s="89">
        <f t="shared" si="20"/>
        <v>91.179782270219533</v>
      </c>
      <c r="E137" s="89">
        <f t="shared" si="20"/>
        <v>95.945725473448363</v>
      </c>
      <c r="F137" s="90">
        <f t="shared" si="20"/>
        <v>100.17820200492115</v>
      </c>
      <c r="G137" s="89">
        <f t="shared" si="20"/>
        <v>105.21324462122577</v>
      </c>
      <c r="H137" s="89">
        <f t="shared" si="20"/>
        <v>114.00353367419889</v>
      </c>
      <c r="I137" s="90">
        <f t="shared" si="20"/>
        <v>124.3339691295413</v>
      </c>
      <c r="J137" s="89">
        <f t="shared" si="20"/>
        <v>135.27068343649674</v>
      </c>
      <c r="K137" s="89">
        <f t="shared" si="20"/>
        <v>145.64296775564111</v>
      </c>
      <c r="L137" s="90">
        <f t="shared" si="20"/>
        <v>152.09387569195783</v>
      </c>
      <c r="M137" s="89">
        <f t="shared" si="20"/>
        <v>157.83850288256468</v>
      </c>
      <c r="N137" s="89">
        <f t="shared" si="20"/>
        <v>164.69402831887507</v>
      </c>
      <c r="O137" s="89">
        <f t="shared" si="20"/>
        <v>169.47142318963768</v>
      </c>
      <c r="P137" s="89">
        <f t="shared" si="20"/>
        <v>179.6039652581695</v>
      </c>
      <c r="R137" s="89">
        <f t="shared" si="11"/>
        <v>0.80571868417187986</v>
      </c>
      <c r="S137" s="91">
        <v>125</v>
      </c>
      <c r="T137" s="89">
        <f t="shared" si="12"/>
        <v>100.17820200492115</v>
      </c>
      <c r="U137" s="89">
        <f t="shared" si="13"/>
        <v>124.3339691295413</v>
      </c>
      <c r="V137" s="89">
        <f t="shared" si="14"/>
        <v>152.09387569195783</v>
      </c>
      <c r="X137" s="86">
        <f t="shared" si="15"/>
        <v>15541.746141192663</v>
      </c>
    </row>
    <row r="138" spans="2:24" x14ac:dyDescent="0.25">
      <c r="B138" s="86">
        <v>126</v>
      </c>
      <c r="C138" s="89">
        <f t="shared" si="21"/>
        <v>88.866318048757947</v>
      </c>
      <c r="D138" s="89">
        <f t="shared" si="20"/>
        <v>92.032879251828732</v>
      </c>
      <c r="E138" s="89">
        <f t="shared" si="20"/>
        <v>96.821859590974498</v>
      </c>
      <c r="F138" s="90">
        <f t="shared" si="20"/>
        <v>101.07419077147996</v>
      </c>
      <c r="G138" s="89">
        <f t="shared" si="20"/>
        <v>106.13216297234855</v>
      </c>
      <c r="H138" s="89">
        <f t="shared" si="20"/>
        <v>114.96083270059655</v>
      </c>
      <c r="I138" s="90">
        <f t="shared" si="20"/>
        <v>125.33396405438855</v>
      </c>
      <c r="J138" s="89">
        <f t="shared" si="20"/>
        <v>136.31337668367777</v>
      </c>
      <c r="K138" s="89">
        <f t="shared" si="20"/>
        <v>146.72405170723547</v>
      </c>
      <c r="L138" s="90">
        <f t="shared" si="20"/>
        <v>153.19790274395621</v>
      </c>
      <c r="M138" s="89">
        <f t="shared" si="20"/>
        <v>158.96240375149253</v>
      </c>
      <c r="N138" s="89">
        <f t="shared" si="20"/>
        <v>165.84100085082048</v>
      </c>
      <c r="O138" s="89">
        <f t="shared" si="20"/>
        <v>170.63408079968164</v>
      </c>
      <c r="P138" s="89">
        <f t="shared" si="20"/>
        <v>180.79889089020068</v>
      </c>
      <c r="R138" s="89">
        <f t="shared" si="11"/>
        <v>0.80643895319243963</v>
      </c>
      <c r="S138" s="91">
        <v>126</v>
      </c>
      <c r="T138" s="89">
        <f t="shared" si="12"/>
        <v>101.07419077147996</v>
      </c>
      <c r="U138" s="89">
        <f t="shared" si="13"/>
        <v>125.33396405438855</v>
      </c>
      <c r="V138" s="89">
        <f t="shared" si="14"/>
        <v>153.19790274395621</v>
      </c>
      <c r="X138" s="86">
        <f t="shared" si="15"/>
        <v>15792.079470852957</v>
      </c>
    </row>
    <row r="139" spans="2:24" x14ac:dyDescent="0.25">
      <c r="B139" s="86">
        <v>127</v>
      </c>
      <c r="C139" s="89">
        <f t="shared" si="21"/>
        <v>89.704406581892172</v>
      </c>
      <c r="D139" s="89">
        <f t="shared" si="20"/>
        <v>92.886558379454826</v>
      </c>
      <c r="E139" s="89">
        <f t="shared" si="20"/>
        <v>97.698485400059795</v>
      </c>
      <c r="F139" s="90">
        <f t="shared" si="20"/>
        <v>101.97059291792532</v>
      </c>
      <c r="G139" s="89">
        <f t="shared" si="20"/>
        <v>107.05140393904333</v>
      </c>
      <c r="H139" s="89">
        <f t="shared" si="20"/>
        <v>115.91830186291507</v>
      </c>
      <c r="I139" s="90">
        <f t="shared" si="20"/>
        <v>126.33395905961551</v>
      </c>
      <c r="J139" s="89">
        <f t="shared" si="20"/>
        <v>137.35589991723108</v>
      </c>
      <c r="K139" s="89">
        <f t="shared" si="20"/>
        <v>147.80481300658039</v>
      </c>
      <c r="L139" s="90">
        <f t="shared" si="20"/>
        <v>154.30151616535022</v>
      </c>
      <c r="M139" s="89">
        <f t="shared" si="20"/>
        <v>160.08581237480089</v>
      </c>
      <c r="N139" s="89">
        <f t="shared" si="20"/>
        <v>166.98739013667389</v>
      </c>
      <c r="O139" s="89">
        <f t="shared" si="20"/>
        <v>171.79609348044741</v>
      </c>
      <c r="P139" s="89">
        <f t="shared" si="20"/>
        <v>181.99304521977317</v>
      </c>
      <c r="R139" s="89">
        <f t="shared" si="11"/>
        <v>0.80715109125810414</v>
      </c>
      <c r="S139" s="91">
        <v>127</v>
      </c>
      <c r="T139" s="89">
        <f t="shared" si="12"/>
        <v>101.97059291792532</v>
      </c>
      <c r="U139" s="89">
        <f t="shared" si="13"/>
        <v>126.33395905961551</v>
      </c>
      <c r="V139" s="89">
        <f t="shared" si="14"/>
        <v>154.30151616535022</v>
      </c>
      <c r="X139" s="86">
        <f t="shared" si="15"/>
        <v>16044.41280057117</v>
      </c>
    </row>
    <row r="140" spans="2:24" x14ac:dyDescent="0.25">
      <c r="B140" s="86">
        <v>128</v>
      </c>
      <c r="C140" s="89">
        <f t="shared" si="21"/>
        <v>90.543130843031193</v>
      </c>
      <c r="D140" s="89">
        <f t="shared" si="20"/>
        <v>93.740812788775983</v>
      </c>
      <c r="E140" s="89">
        <f t="shared" si="20"/>
        <v>98.575597092470915</v>
      </c>
      <c r="F140" s="90">
        <f t="shared" si="20"/>
        <v>102.86740355482871</v>
      </c>
      <c r="G140" s="89">
        <f t="shared" si="20"/>
        <v>107.97096370086415</v>
      </c>
      <c r="H140" s="89">
        <f t="shared" si="20"/>
        <v>116.87593914342678</v>
      </c>
      <c r="I140" s="90">
        <f t="shared" si="20"/>
        <v>127.33395414332766</v>
      </c>
      <c r="J140" s="89">
        <f t="shared" si="20"/>
        <v>138.3982551520038</v>
      </c>
      <c r="K140" s="89">
        <f t="shared" si="20"/>
        <v>148.88525547499117</v>
      </c>
      <c r="L140" s="90">
        <f t="shared" si="20"/>
        <v>155.40472085148207</v>
      </c>
      <c r="M140" s="89">
        <f t="shared" si="20"/>
        <v>161.20873457378099</v>
      </c>
      <c r="N140" s="89">
        <f t="shared" si="20"/>
        <v>168.13320306666489</v>
      </c>
      <c r="O140" s="89">
        <f t="shared" si="20"/>
        <v>172.95746884474639</v>
      </c>
      <c r="P140" s="89">
        <f t="shared" si="20"/>
        <v>183.18643733447226</v>
      </c>
      <c r="R140" s="89">
        <f t="shared" si="11"/>
        <v>0.80785525154618787</v>
      </c>
      <c r="S140" s="91">
        <v>128</v>
      </c>
      <c r="T140" s="89">
        <f t="shared" si="12"/>
        <v>102.86740355482871</v>
      </c>
      <c r="U140" s="89">
        <f t="shared" si="13"/>
        <v>127.33395414332766</v>
      </c>
      <c r="V140" s="89">
        <f t="shared" si="14"/>
        <v>155.40472085148207</v>
      </c>
      <c r="X140" s="86">
        <f t="shared" si="15"/>
        <v>16298.74613034594</v>
      </c>
    </row>
    <row r="141" spans="2:24" x14ac:dyDescent="0.25">
      <c r="B141" s="86">
        <v>129</v>
      </c>
      <c r="C141" s="89">
        <f t="shared" si="21"/>
        <v>91.382483405092856</v>
      </c>
      <c r="D141" s="89">
        <f t="shared" si="20"/>
        <v>94.595635749284952</v>
      </c>
      <c r="E141" s="89">
        <f t="shared" si="20"/>
        <v>99.45318897341626</v>
      </c>
      <c r="F141" s="90">
        <f t="shared" si="20"/>
        <v>103.76461788838589</v>
      </c>
      <c r="G141" s="89">
        <f t="shared" si="20"/>
        <v>108.89083851217599</v>
      </c>
      <c r="H141" s="89">
        <f t="shared" si="20"/>
        <v>117.8337425639756</v>
      </c>
      <c r="I141" s="90">
        <f t="shared" si="20"/>
        <v>128.33394930368956</v>
      </c>
      <c r="J141" s="89">
        <f t="shared" si="20"/>
        <v>139.44044436336114</v>
      </c>
      <c r="K141" s="89">
        <f t="shared" si="20"/>
        <v>149.96538285894493</v>
      </c>
      <c r="L141" s="90">
        <f t="shared" si="20"/>
        <v>156.50752160188514</v>
      </c>
      <c r="M141" s="89">
        <f t="shared" si="20"/>
        <v>162.33117605587515</v>
      </c>
      <c r="N141" s="89">
        <f t="shared" si="20"/>
        <v>169.27844639640136</v>
      </c>
      <c r="O141" s="89">
        <f t="shared" si="20"/>
        <v>174.11821435676228</v>
      </c>
      <c r="P141" s="89">
        <f t="shared" si="20"/>
        <v>184.37907614477072</v>
      </c>
      <c r="R141" s="89">
        <f t="shared" si="11"/>
        <v>0.80855158320451281</v>
      </c>
      <c r="S141" s="91">
        <v>129</v>
      </c>
      <c r="T141" s="89">
        <f t="shared" si="12"/>
        <v>103.76461788838589</v>
      </c>
      <c r="U141" s="89">
        <f t="shared" si="13"/>
        <v>128.33394930368956</v>
      </c>
      <c r="V141" s="89">
        <f t="shared" si="14"/>
        <v>156.50752160188514</v>
      </c>
      <c r="X141" s="86">
        <f t="shared" si="15"/>
        <v>16555.079460175955</v>
      </c>
    </row>
    <row r="142" spans="2:24" x14ac:dyDescent="0.25">
      <c r="B142" s="86">
        <v>130</v>
      </c>
      <c r="C142" s="89">
        <f t="shared" si="21"/>
        <v>92.222456984444946</v>
      </c>
      <c r="D142" s="89">
        <f t="shared" si="20"/>
        <v>95.451020660666273</v>
      </c>
      <c r="E142" s="89">
        <f t="shared" si="20"/>
        <v>100.33125545846853</v>
      </c>
      <c r="F142" s="90">
        <f t="shared" si="20"/>
        <v>104.6622312178192</v>
      </c>
      <c r="G142" s="89">
        <f t="shared" si="20"/>
        <v>109.81102470011976</v>
      </c>
      <c r="H142" s="89">
        <f t="shared" si="20"/>
        <v>118.791710184899</v>
      </c>
      <c r="I142" s="90">
        <f t="shared" si="20"/>
        <v>129.33394453892257</v>
      </c>
      <c r="J142" s="89">
        <f t="shared" si="20"/>
        <v>140.48246948826113</v>
      </c>
      <c r="K142" s="89">
        <f t="shared" si="20"/>
        <v>151.04519883211671</v>
      </c>
      <c r="L142" s="90">
        <f t="shared" si="20"/>
        <v>157.60992312288906</v>
      </c>
      <c r="M142" s="89">
        <f t="shared" si="20"/>
        <v>163.45314241777001</v>
      </c>
      <c r="N142" s="89">
        <f t="shared" si="20"/>
        <v>170.42312675052347</v>
      </c>
      <c r="O142" s="89">
        <f t="shared" si="20"/>
        <v>175.2783373360825</v>
      </c>
      <c r="P142" s="89">
        <f t="shared" si="20"/>
        <v>185.57097038882523</v>
      </c>
      <c r="R142" s="89">
        <f t="shared" ref="R142:R205" si="22">F142/I142</f>
        <v>0.80924023148711355</v>
      </c>
      <c r="S142" s="91">
        <v>130</v>
      </c>
      <c r="T142" s="89">
        <f t="shared" ref="T142:T205" si="23">F142</f>
        <v>104.6622312178192</v>
      </c>
      <c r="U142" s="89">
        <f t="shared" ref="U142:U205" si="24">I142</f>
        <v>129.33394453892257</v>
      </c>
      <c r="V142" s="89">
        <f t="shared" ref="V142:V205" si="25">L142</f>
        <v>157.60992312288906</v>
      </c>
      <c r="X142" s="86">
        <f t="shared" ref="X142:X205" si="26">B142*I142</f>
        <v>16813.412790059934</v>
      </c>
    </row>
    <row r="143" spans="2:24" x14ac:dyDescent="0.25">
      <c r="B143" s="86">
        <v>131</v>
      </c>
      <c r="C143" s="89">
        <f t="shared" si="21"/>
        <v>93.063044437057272</v>
      </c>
      <c r="D143" s="89">
        <f t="shared" si="20"/>
        <v>96.306961049298025</v>
      </c>
      <c r="E143" s="89">
        <f t="shared" si="20"/>
        <v>101.20979107059382</v>
      </c>
      <c r="F143" s="90">
        <f t="shared" si="20"/>
        <v>105.56023893286982</v>
      </c>
      <c r="G143" s="89">
        <f t="shared" si="20"/>
        <v>110.73151866264803</v>
      </c>
      <c r="H143" s="89">
        <f t="shared" si="20"/>
        <v>119.74984010398724</v>
      </c>
      <c r="I143" s="90">
        <f t="shared" si="20"/>
        <v>130.33393984730259</v>
      </c>
      <c r="J143" s="89">
        <f t="shared" si="20"/>
        <v>141.52433242629195</v>
      </c>
      <c r="K143" s="89">
        <f t="shared" si="20"/>
        <v>152.12470699734467</v>
      </c>
      <c r="L143" s="90">
        <f t="shared" si="20"/>
        <v>158.71193003013374</v>
      </c>
      <c r="M143" s="89">
        <f t="shared" si="20"/>
        <v>164.57463914838249</v>
      </c>
      <c r="N143" s="89">
        <f t="shared" si="20"/>
        <v>171.56725062623147</v>
      </c>
      <c r="O143" s="89">
        <f t="shared" si="20"/>
        <v>176.43784496159012</v>
      </c>
      <c r="P143" s="89">
        <f t="shared" si="20"/>
        <v>186.76212863710688</v>
      </c>
      <c r="R143" s="89">
        <f t="shared" si="22"/>
        <v>0.80992133788438159</v>
      </c>
      <c r="S143" s="91">
        <v>131</v>
      </c>
      <c r="T143" s="89">
        <f t="shared" si="23"/>
        <v>105.56023893286982</v>
      </c>
      <c r="U143" s="89">
        <f t="shared" si="24"/>
        <v>130.33393984730259</v>
      </c>
      <c r="V143" s="89">
        <f t="shared" si="25"/>
        <v>158.71193003013374</v>
      </c>
      <c r="X143" s="86">
        <f t="shared" si="26"/>
        <v>17073.746119996638</v>
      </c>
    </row>
    <row r="144" spans="2:24" x14ac:dyDescent="0.25">
      <c r="B144" s="86">
        <v>132</v>
      </c>
      <c r="C144" s="89">
        <f t="shared" si="21"/>
        <v>93.904238754784572</v>
      </c>
      <c r="D144" s="89">
        <f t="shared" si="20"/>
        <v>97.163450564874182</v>
      </c>
      <c r="E144" s="89">
        <f t="shared" si="20"/>
        <v>102.08879043728257</v>
      </c>
      <c r="F144" s="90">
        <f t="shared" si="20"/>
        <v>106.45863651137638</v>
      </c>
      <c r="G144" s="89">
        <f t="shared" si="20"/>
        <v>111.6523168666284</v>
      </c>
      <c r="H144" s="89">
        <f t="shared" si="20"/>
        <v>120.70813045547874</v>
      </c>
      <c r="I144" s="90">
        <f t="shared" si="20"/>
        <v>131.33393522715812</v>
      </c>
      <c r="J144" s="89">
        <f t="shared" si="20"/>
        <v>142.56603504067343</v>
      </c>
      <c r="K144" s="89">
        <f t="shared" si="20"/>
        <v>153.20391088852773</v>
      </c>
      <c r="L144" s="90">
        <f t="shared" si="20"/>
        <v>159.8135468509978</v>
      </c>
      <c r="M144" s="89">
        <f t="shared" si="20"/>
        <v>165.69567163174315</v>
      </c>
      <c r="N144" s="89">
        <f t="shared" si="20"/>
        <v>172.71082439669203</v>
      </c>
      <c r="O144" s="89">
        <f t="shared" si="20"/>
        <v>177.59674427522219</v>
      </c>
      <c r="P144" s="89">
        <f t="shared" si="20"/>
        <v>187.95255929687286</v>
      </c>
      <c r="R144" s="89">
        <f t="shared" si="22"/>
        <v>0.81059504024792328</v>
      </c>
      <c r="S144" s="91">
        <v>132</v>
      </c>
      <c r="T144" s="89">
        <f t="shared" si="23"/>
        <v>106.45863651137638</v>
      </c>
      <c r="U144" s="89">
        <f t="shared" si="24"/>
        <v>131.33393522715812</v>
      </c>
      <c r="V144" s="89">
        <f t="shared" si="25"/>
        <v>159.8135468509978</v>
      </c>
      <c r="X144" s="86">
        <f t="shared" si="26"/>
        <v>17336.079449984871</v>
      </c>
    </row>
    <row r="145" spans="2:24" x14ac:dyDescent="0.25">
      <c r="B145" s="86">
        <v>133</v>
      </c>
      <c r="C145" s="89">
        <f t="shared" si="21"/>
        <v>94.746033061777396</v>
      </c>
      <c r="D145" s="89">
        <f t="shared" si="20"/>
        <v>98.02048297714127</v>
      </c>
      <c r="E145" s="89">
        <f t="shared" si="20"/>
        <v>102.96824828777847</v>
      </c>
      <c r="F145" s="90">
        <f t="shared" si="20"/>
        <v>107.35741951693616</v>
      </c>
      <c r="G145" s="89">
        <f t="shared" si="20"/>
        <v>112.57341584601164</v>
      </c>
      <c r="H145" s="89">
        <f t="shared" si="20"/>
        <v>121.66657940908972</v>
      </c>
      <c r="I145" s="90">
        <f t="shared" si="20"/>
        <v>132.33393067686822</v>
      </c>
      <c r="J145" s="89">
        <f t="shared" si="20"/>
        <v>143.60757915922446</v>
      </c>
      <c r="K145" s="89">
        <f t="shared" si="20"/>
        <v>154.28281397245826</v>
      </c>
      <c r="L145" s="90">
        <f t="shared" si="20"/>
        <v>160.91477802694322</v>
      </c>
      <c r="M145" s="89">
        <f t="shared" si="20"/>
        <v>166.81624514978094</v>
      </c>
      <c r="N145" s="89">
        <f t="shared" si="20"/>
        <v>173.85385431432846</v>
      </c>
      <c r="O145" s="89">
        <f t="shared" si="20"/>
        <v>178.75504218559999</v>
      </c>
      <c r="P145" s="89">
        <f t="shared" si="20"/>
        <v>189.14227061648617</v>
      </c>
      <c r="R145" s="89">
        <f t="shared" si="22"/>
        <v>0.81126147291037942</v>
      </c>
      <c r="S145" s="91">
        <v>133</v>
      </c>
      <c r="T145" s="89">
        <f t="shared" si="23"/>
        <v>107.35741951693616</v>
      </c>
      <c r="U145" s="89">
        <f t="shared" si="24"/>
        <v>132.33393067686822</v>
      </c>
      <c r="V145" s="89">
        <f t="shared" si="25"/>
        <v>160.91477802694322</v>
      </c>
      <c r="X145" s="86">
        <f t="shared" si="26"/>
        <v>17600.412780023475</v>
      </c>
    </row>
    <row r="146" spans="2:24" x14ac:dyDescent="0.25">
      <c r="B146" s="86">
        <v>134</v>
      </c>
      <c r="C146" s="89">
        <f t="shared" si="21"/>
        <v>95.588420611012026</v>
      </c>
      <c r="D146" s="89">
        <f t="shared" si="20"/>
        <v>98.878052172745683</v>
      </c>
      <c r="E146" s="89">
        <f t="shared" si="20"/>
        <v>103.84815945040107</v>
      </c>
      <c r="F146" s="90">
        <f t="shared" si="20"/>
        <v>108.25658359664553</v>
      </c>
      <c r="G146" s="89">
        <f t="shared" si="20"/>
        <v>113.49481220006209</v>
      </c>
      <c r="H146" s="89">
        <f t="shared" si="20"/>
        <v>122.62518516907681</v>
      </c>
      <c r="I146" s="90">
        <f t="shared" si="20"/>
        <v>133.33392619486051</v>
      </c>
      <c r="J146" s="89">
        <f t="shared" si="20"/>
        <v>144.64896657529744</v>
      </c>
      <c r="K146" s="89">
        <f t="shared" si="20"/>
        <v>155.36141965059272</v>
      </c>
      <c r="L146" s="90">
        <f t="shared" si="20"/>
        <v>162.01562791578101</v>
      </c>
      <c r="M146" s="89">
        <f t="shared" si="20"/>
        <v>167.93636488501363</v>
      </c>
      <c r="N146" s="89">
        <f t="shared" si="20"/>
        <v>174.99634651399938</v>
      </c>
      <c r="O146" s="89">
        <f t="shared" si="20"/>
        <v>179.91274547153625</v>
      </c>
      <c r="P146" s="89">
        <f t="shared" si="20"/>
        <v>190.3312706895891</v>
      </c>
      <c r="R146" s="89">
        <f t="shared" si="22"/>
        <v>0.81192076680044833</v>
      </c>
      <c r="S146" s="91">
        <v>134</v>
      </c>
      <c r="T146" s="89">
        <f t="shared" si="23"/>
        <v>108.25658359664553</v>
      </c>
      <c r="U146" s="89">
        <f t="shared" si="24"/>
        <v>133.33392619486051</v>
      </c>
      <c r="V146" s="89">
        <f t="shared" si="25"/>
        <v>162.01562791578101</v>
      </c>
      <c r="X146" s="86">
        <f t="shared" si="26"/>
        <v>17866.746110111308</v>
      </c>
    </row>
    <row r="147" spans="2:24" x14ac:dyDescent="0.25">
      <c r="B147" s="86">
        <v>135</v>
      </c>
      <c r="C147" s="89">
        <f t="shared" si="21"/>
        <v>96.431394780937964</v>
      </c>
      <c r="D147" s="89">
        <f t="shared" si="20"/>
        <v>99.736152152186193</v>
      </c>
      <c r="E147" s="89">
        <f t="shared" si="20"/>
        <v>104.72851884995826</v>
      </c>
      <c r="F147" s="90">
        <f t="shared" si="20"/>
        <v>109.15612447891631</v>
      </c>
      <c r="G147" s="89">
        <f t="shared" si="20"/>
        <v>114.41650259164736</v>
      </c>
      <c r="H147" s="89">
        <f t="shared" si="20"/>
        <v>123.58394597333128</v>
      </c>
      <c r="I147" s="90">
        <f t="shared" si="20"/>
        <v>134.33392177960951</v>
      </c>
      <c r="J147" s="89">
        <f t="shared" si="20"/>
        <v>145.69019904868128</v>
      </c>
      <c r="K147" s="89">
        <f t="shared" si="20"/>
        <v>156.4397312607627</v>
      </c>
      <c r="L147" s="90">
        <f t="shared" si="20"/>
        <v>163.11610079386037</v>
      </c>
      <c r="M147" s="89">
        <f t="shared" si="20"/>
        <v>169.05603592314793</v>
      </c>
      <c r="N147" s="89">
        <f t="shared" si="20"/>
        <v>176.13830701607094</v>
      </c>
      <c r="O147" s="89">
        <f t="shared" si="20"/>
        <v>181.06986078542494</v>
      </c>
      <c r="P147" s="89">
        <f t="shared" si="20"/>
        <v>191.51956745913705</v>
      </c>
      <c r="R147" s="89">
        <f t="shared" si="22"/>
        <v>0.81257304955333387</v>
      </c>
      <c r="S147" s="91">
        <v>135</v>
      </c>
      <c r="T147" s="89">
        <f t="shared" si="23"/>
        <v>109.15612447891631</v>
      </c>
      <c r="U147" s="89">
        <f t="shared" si="24"/>
        <v>134.33392177960951</v>
      </c>
      <c r="V147" s="89">
        <f t="shared" si="25"/>
        <v>163.11610079386037</v>
      </c>
      <c r="X147" s="86">
        <f t="shared" si="26"/>
        <v>18135.079440247286</v>
      </c>
    </row>
    <row r="148" spans="2:24" x14ac:dyDescent="0.25">
      <c r="B148" s="86">
        <v>136</v>
      </c>
      <c r="C148" s="89">
        <f t="shared" si="21"/>
        <v>97.274949072236126</v>
      </c>
      <c r="D148" s="89">
        <f t="shared" si="20"/>
        <v>100.59477702686807</v>
      </c>
      <c r="E148" s="89">
        <f t="shared" si="20"/>
        <v>105.60932150524494</v>
      </c>
      <c r="F148" s="90">
        <f t="shared" si="20"/>
        <v>110.05603797136514</v>
      </c>
      <c r="G148" s="89">
        <f t="shared" si="20"/>
        <v>115.33848374558553</v>
      </c>
      <c r="H148" s="89">
        <f t="shared" si="20"/>
        <v>124.54286009250359</v>
      </c>
      <c r="I148" s="90">
        <f t="shared" si="20"/>
        <v>135.33391742963482</v>
      </c>
      <c r="J148" s="89">
        <f t="shared" si="20"/>
        <v>146.73127830647425</v>
      </c>
      <c r="K148" s="89">
        <f t="shared" si="20"/>
        <v>157.51775207882852</v>
      </c>
      <c r="L148" s="90">
        <f t="shared" si="20"/>
        <v>164.21620085818489</v>
      </c>
      <c r="M148" s="89">
        <f t="shared" si="20"/>
        <v>170.17526325559271</v>
      </c>
      <c r="N148" s="89">
        <f t="shared" si="20"/>
        <v>177.2797417293863</v>
      </c>
      <c r="O148" s="89">
        <f t="shared" si="20"/>
        <v>182.22639465651778</v>
      </c>
      <c r="P148" s="89">
        <f t="shared" si="20"/>
        <v>192.7071687212981</v>
      </c>
      <c r="R148" s="89">
        <f t="shared" si="22"/>
        <v>0.81321844561683809</v>
      </c>
      <c r="S148" s="91">
        <v>136</v>
      </c>
      <c r="T148" s="89">
        <f t="shared" si="23"/>
        <v>110.05603797136514</v>
      </c>
      <c r="U148" s="89">
        <f t="shared" si="24"/>
        <v>135.33391742963482</v>
      </c>
      <c r="V148" s="89">
        <f t="shared" si="25"/>
        <v>164.21620085818489</v>
      </c>
      <c r="X148" s="86">
        <f t="shared" si="26"/>
        <v>18405.412770430336</v>
      </c>
    </row>
    <row r="149" spans="2:24" x14ac:dyDescent="0.25">
      <c r="B149" s="86">
        <v>137</v>
      </c>
      <c r="C149" s="89">
        <f t="shared" si="21"/>
        <v>98.119077104683498</v>
      </c>
      <c r="D149" s="89">
        <f t="shared" si="20"/>
        <v>101.45392101625475</v>
      </c>
      <c r="E149" s="89">
        <f t="shared" si="20"/>
        <v>106.49056252662447</v>
      </c>
      <c r="F149" s="90">
        <f t="shared" si="20"/>
        <v>110.95631995877257</v>
      </c>
      <c r="G149" s="89">
        <f t="shared" si="20"/>
        <v>116.26075244704685</v>
      </c>
      <c r="H149" s="89">
        <f t="shared" si="20"/>
        <v>125.50192582915697</v>
      </c>
      <c r="I149" s="90">
        <f t="shared" si="20"/>
        <v>136.3339131434995</v>
      </c>
      <c r="J149" s="89">
        <f t="shared" si="20"/>
        <v>147.77220604392789</v>
      </c>
      <c r="K149" s="89">
        <f t="shared" si="20"/>
        <v>158.5954853202783</v>
      </c>
      <c r="L149" s="90">
        <f t="shared" si="20"/>
        <v>165.31593222845851</v>
      </c>
      <c r="M149" s="89">
        <f t="shared" si="20"/>
        <v>171.29405178188878</v>
      </c>
      <c r="N149" s="89">
        <f t="shared" si="20"/>
        <v>178.42065645413683</v>
      </c>
      <c r="O149" s="89">
        <f t="shared" si="20"/>
        <v>183.38235349409254</v>
      </c>
      <c r="P149" s="89">
        <f t="shared" si="20"/>
        <v>193.89408212922353</v>
      </c>
      <c r="R149" s="89">
        <f t="shared" si="22"/>
        <v>0.81385707635329507</v>
      </c>
      <c r="S149" s="91">
        <v>137</v>
      </c>
      <c r="T149" s="89">
        <f t="shared" si="23"/>
        <v>110.95631995877257</v>
      </c>
      <c r="U149" s="89">
        <f t="shared" si="24"/>
        <v>136.3339131434995</v>
      </c>
      <c r="V149" s="89">
        <f t="shared" si="25"/>
        <v>165.31593222845851</v>
      </c>
      <c r="X149" s="86">
        <f t="shared" si="26"/>
        <v>18677.746100659431</v>
      </c>
    </row>
    <row r="150" spans="2:24" x14ac:dyDescent="0.25">
      <c r="B150" s="86">
        <v>138</v>
      </c>
      <c r="C150" s="89">
        <f t="shared" si="21"/>
        <v>98.96377261412195</v>
      </c>
      <c r="D150" s="89">
        <f t="shared" si="20"/>
        <v>102.31357844511193</v>
      </c>
      <c r="E150" s="89">
        <f t="shared" si="20"/>
        <v>107.37223711368966</v>
      </c>
      <c r="F150" s="90">
        <f t="shared" si="20"/>
        <v>111.85696640110943</v>
      </c>
      <c r="G150" s="89">
        <f t="shared" si="20"/>
        <v>117.18330554000831</v>
      </c>
      <c r="H150" s="89">
        <f t="shared" si="20"/>
        <v>126.46114151694904</v>
      </c>
      <c r="I150" s="90">
        <f t="shared" si="20"/>
        <v>137.33390891980849</v>
      </c>
      <c r="J150" s="89">
        <f t="shared" si="20"/>
        <v>148.81298392526301</v>
      </c>
      <c r="K150" s="89">
        <f t="shared" si="20"/>
        <v>159.67293414177416</v>
      </c>
      <c r="L150" s="90">
        <f t="shared" si="20"/>
        <v>166.41529894906412</v>
      </c>
      <c r="M150" s="89">
        <f t="shared" si="20"/>
        <v>172.41240631205909</v>
      </c>
      <c r="N150" s="89">
        <f t="shared" si="20"/>
        <v>179.56105688463899</v>
      </c>
      <c r="O150" s="89">
        <f t="shared" si="20"/>
        <v>184.53774359051721</v>
      </c>
      <c r="P150" s="89">
        <f t="shared" si="20"/>
        <v>195.08031519669484</v>
      </c>
      <c r="R150" s="89">
        <f t="shared" si="22"/>
        <v>0.81448906013754063</v>
      </c>
      <c r="S150" s="91">
        <v>138</v>
      </c>
      <c r="T150" s="89">
        <f t="shared" si="23"/>
        <v>111.85696640110943</v>
      </c>
      <c r="U150" s="89">
        <f t="shared" si="24"/>
        <v>137.33390891980849</v>
      </c>
      <c r="V150" s="89">
        <f t="shared" si="25"/>
        <v>166.41529894906412</v>
      </c>
      <c r="X150" s="86">
        <f t="shared" si="26"/>
        <v>18952.079430933572</v>
      </c>
    </row>
    <row r="151" spans="2:24" x14ac:dyDescent="0.25">
      <c r="B151" s="86">
        <v>139</v>
      </c>
      <c r="C151" s="89">
        <f t="shared" si="21"/>
        <v>99.809029449522995</v>
      </c>
      <c r="D151" s="89">
        <f t="shared" si="20"/>
        <v>103.1737437408425</v>
      </c>
      <c r="E151" s="89">
        <f t="shared" si="20"/>
        <v>108.25434055299978</v>
      </c>
      <c r="F151" s="90">
        <f t="shared" si="20"/>
        <v>112.75797333162748</v>
      </c>
      <c r="G151" s="89">
        <f t="shared" si="20"/>
        <v>118.10613992575853</v>
      </c>
      <c r="H151" s="89">
        <f t="shared" si="20"/>
        <v>127.42050551984005</v>
      </c>
      <c r="I151" s="90">
        <f t="shared" si="20"/>
        <v>138.33390475720705</v>
      </c>
      <c r="J151" s="89">
        <f t="shared" si="20"/>
        <v>149.85361358445911</v>
      </c>
      <c r="K151" s="89">
        <f t="shared" si="20"/>
        <v>160.75010164264802</v>
      </c>
      <c r="L151" s="90">
        <f t="shared" si="20"/>
        <v>167.51430499097768</v>
      </c>
      <c r="M151" s="89">
        <f t="shared" si="20"/>
        <v>173.53033156888193</v>
      </c>
      <c r="N151" s="89">
        <f t="shared" si="20"/>
        <v>180.70094861202074</v>
      </c>
      <c r="O151" s="89">
        <f t="shared" si="20"/>
        <v>185.69257112421434</v>
      </c>
      <c r="P151" s="89">
        <f t="shared" si="20"/>
        <v>196.2658753016523</v>
      </c>
      <c r="R151" s="89">
        <f t="shared" si="22"/>
        <v>0.81511451245109823</v>
      </c>
      <c r="S151" s="91">
        <v>139</v>
      </c>
      <c r="T151" s="89">
        <f t="shared" si="23"/>
        <v>112.75797333162748</v>
      </c>
      <c r="U151" s="89">
        <f t="shared" si="24"/>
        <v>138.33390475720705</v>
      </c>
      <c r="V151" s="89">
        <f t="shared" si="25"/>
        <v>167.51430499097768</v>
      </c>
      <c r="X151" s="86">
        <f t="shared" si="26"/>
        <v>19228.41276125178</v>
      </c>
    </row>
    <row r="152" spans="2:24" x14ac:dyDescent="0.25">
      <c r="B152" s="86">
        <v>140</v>
      </c>
      <c r="C152" s="89">
        <f t="shared" si="21"/>
        <v>100.65484157015014</v>
      </c>
      <c r="D152" s="89">
        <f t="shared" si="20"/>
        <v>104.03441143090674</v>
      </c>
      <c r="E152" s="89">
        <f t="shared" si="20"/>
        <v>109.13686821589097</v>
      </c>
      <c r="F152" s="90">
        <f t="shared" si="20"/>
        <v>113.65933685501219</v>
      </c>
      <c r="G152" s="89">
        <f t="shared" si="20"/>
        <v>119.0292525614513</v>
      </c>
      <c r="H152" s="89">
        <f t="shared" si="20"/>
        <v>128.38001623132698</v>
      </c>
      <c r="I152" s="90">
        <f t="shared" si="20"/>
        <v>139.33390065437939</v>
      </c>
      <c r="J152" s="89">
        <f t="shared" si="20"/>
        <v>150.89409662601807</v>
      </c>
      <c r="K152" s="89">
        <f t="shared" si="20"/>
        <v>161.82699086634864</v>
      </c>
      <c r="L152" s="90">
        <f t="shared" si="20"/>
        <v>168.61295425361996</v>
      </c>
      <c r="M152" s="89">
        <f t="shared" si="20"/>
        <v>174.64783219009058</v>
      </c>
      <c r="N152" s="89">
        <f t="shared" si="20"/>
        <v>181.84033712682086</v>
      </c>
      <c r="O152" s="89">
        <f t="shared" si="20"/>
        <v>186.84684216252936</v>
      </c>
      <c r="P152" s="89">
        <f t="shared" si="20"/>
        <v>197.45076968960893</v>
      </c>
      <c r="R152" s="89">
        <f t="shared" si="22"/>
        <v>0.81573354597275294</v>
      </c>
      <c r="S152" s="91">
        <v>140</v>
      </c>
      <c r="T152" s="89">
        <f t="shared" si="23"/>
        <v>113.65933685501219</v>
      </c>
      <c r="U152" s="89">
        <f t="shared" si="24"/>
        <v>139.33390065437939</v>
      </c>
      <c r="V152" s="89">
        <f t="shared" si="25"/>
        <v>168.61295425361996</v>
      </c>
      <c r="X152" s="86">
        <f t="shared" si="26"/>
        <v>19506.746091613113</v>
      </c>
    </row>
    <row r="153" spans="2:24" x14ac:dyDescent="0.25">
      <c r="B153" s="86">
        <v>141</v>
      </c>
      <c r="C153" s="89">
        <f t="shared" si="21"/>
        <v>101.50120304280956</v>
      </c>
      <c r="D153" s="89">
        <f t="shared" si="20"/>
        <v>104.89557614032577</v>
      </c>
      <c r="E153" s="89">
        <f t="shared" si="20"/>
        <v>110.01981555635713</v>
      </c>
      <c r="F153" s="90">
        <f t="shared" si="20"/>
        <v>114.56105314559457</v>
      </c>
      <c r="G153" s="89">
        <f t="shared" si="20"/>
        <v>119.95264045870569</v>
      </c>
      <c r="H153" s="89">
        <f t="shared" si="20"/>
        <v>129.3396720737023</v>
      </c>
      <c r="I153" s="90">
        <f t="shared" si="20"/>
        <v>140.33389661004719</v>
      </c>
      <c r="J153" s="89">
        <f t="shared" si="20"/>
        <v>151.93443462570329</v>
      </c>
      <c r="K153" s="89">
        <f t="shared" si="20"/>
        <v>162.90360480184233</v>
      </c>
      <c r="L153" s="90">
        <f t="shared" si="20"/>
        <v>169.711250566649</v>
      </c>
      <c r="M153" s="89">
        <f t="shared" si="20"/>
        <v>175.76491273050203</v>
      </c>
      <c r="N153" s="89">
        <f t="shared" si="20"/>
        <v>182.9792278215044</v>
      </c>
      <c r="O153" s="89">
        <f t="shared" si="20"/>
        <v>188.00056266450656</v>
      </c>
      <c r="P153" s="89">
        <f t="shared" si="20"/>
        <v>198.63500547695523</v>
      </c>
      <c r="R153" s="89">
        <f t="shared" si="22"/>
        <v>0.816346270665676</v>
      </c>
      <c r="S153" s="91">
        <v>141</v>
      </c>
      <c r="T153" s="89">
        <f t="shared" si="23"/>
        <v>114.56105314559457</v>
      </c>
      <c r="U153" s="89">
        <f t="shared" si="24"/>
        <v>140.33389661004719</v>
      </c>
      <c r="V153" s="89">
        <f t="shared" si="25"/>
        <v>169.711250566649</v>
      </c>
      <c r="X153" s="86">
        <f t="shared" si="26"/>
        <v>19787.079422016654</v>
      </c>
    </row>
    <row r="154" spans="2:24" x14ac:dyDescent="0.25">
      <c r="B154" s="86">
        <v>142</v>
      </c>
      <c r="C154" s="89">
        <f t="shared" si="21"/>
        <v>102.34810803919018</v>
      </c>
      <c r="D154" s="89">
        <f t="shared" si="20"/>
        <v>105.75723258926408</v>
      </c>
      <c r="E154" s="89">
        <f t="shared" si="20"/>
        <v>110.90317810899808</v>
      </c>
      <c r="F154" s="90">
        <f t="shared" si="20"/>
        <v>115.46311844562052</v>
      </c>
      <c r="G154" s="89">
        <f t="shared" si="20"/>
        <v>120.87630068225084</v>
      </c>
      <c r="H154" s="89">
        <f t="shared" si="20"/>
        <v>130.29947149733653</v>
      </c>
      <c r="I154" s="90">
        <f t="shared" si="20"/>
        <v>141.33389262296836</v>
      </c>
      <c r="J154" s="89">
        <f t="shared" si="20"/>
        <v>152.97462913125523</v>
      </c>
      <c r="K154" s="89">
        <f t="shared" si="20"/>
        <v>163.9799463849686</v>
      </c>
      <c r="L154" s="90">
        <f t="shared" si="20"/>
        <v>170.80919769169492</v>
      </c>
      <c r="M154" s="89">
        <f t="shared" si="20"/>
        <v>176.88157766407789</v>
      </c>
      <c r="N154" s="89">
        <f t="shared" si="20"/>
        <v>184.11762599289833</v>
      </c>
      <c r="O154" s="89">
        <f t="shared" si="20"/>
        <v>189.15373848357694</v>
      </c>
      <c r="P154" s="89">
        <f t="shared" si="20"/>
        <v>199.8185896541587</v>
      </c>
      <c r="R154" s="89">
        <f t="shared" si="22"/>
        <v>0.8169527938612543</v>
      </c>
      <c r="S154" s="91">
        <v>142</v>
      </c>
      <c r="T154" s="89">
        <f t="shared" si="23"/>
        <v>115.46311844562052</v>
      </c>
      <c r="U154" s="89">
        <f t="shared" si="24"/>
        <v>141.33389262296836</v>
      </c>
      <c r="V154" s="89">
        <f t="shared" si="25"/>
        <v>170.80919769169492</v>
      </c>
      <c r="X154" s="86">
        <f t="shared" si="26"/>
        <v>20069.412752461507</v>
      </c>
    </row>
    <row r="155" spans="2:24" x14ac:dyDescent="0.25">
      <c r="B155" s="86">
        <v>143</v>
      </c>
      <c r="C155" s="89">
        <f t="shared" si="21"/>
        <v>103.19555083328621</v>
      </c>
      <c r="D155" s="89">
        <f t="shared" si="20"/>
        <v>106.61937559068885</v>
      </c>
      <c r="E155" s="89">
        <f t="shared" si="20"/>
        <v>111.78695148703306</v>
      </c>
      <c r="F155" s="90">
        <f t="shared" si="20"/>
        <v>116.36552906357493</v>
      </c>
      <c r="G155" s="89">
        <f t="shared" si="20"/>
        <v>121.80023034861401</v>
      </c>
      <c r="H155" s="89">
        <f t="shared" si="20"/>
        <v>131.25941297998349</v>
      </c>
      <c r="I155" s="90">
        <f t="shared" si="20"/>
        <v>142.3338886919357</v>
      </c>
      <c r="J155" s="89">
        <f t="shared" si="20"/>
        <v>154.01468166308405</v>
      </c>
      <c r="K155" s="89">
        <f t="shared" si="20"/>
        <v>165.05601849975284</v>
      </c>
      <c r="L155" s="90">
        <f t="shared" si="20"/>
        <v>171.90679932403987</v>
      </c>
      <c r="M155" s="89">
        <f t="shared" si="20"/>
        <v>177.99783138591965</v>
      </c>
      <c r="N155" s="89">
        <f t="shared" ref="N155:P155" si="27">CHIINV(N$12,$B155)</f>
        <v>185.2555368445496</v>
      </c>
      <c r="O155" s="89">
        <f t="shared" si="27"/>
        <v>190.30637537016042</v>
      </c>
      <c r="P155" s="89">
        <f t="shared" si="27"/>
        <v>201.00152908886201</v>
      </c>
      <c r="R155" s="89">
        <f t="shared" si="22"/>
        <v>0.81755322033977362</v>
      </c>
      <c r="S155" s="91">
        <v>143</v>
      </c>
      <c r="T155" s="89">
        <f t="shared" si="23"/>
        <v>116.36552906357493</v>
      </c>
      <c r="U155" s="89">
        <f t="shared" si="24"/>
        <v>142.3338886919357</v>
      </c>
      <c r="V155" s="89">
        <f t="shared" si="25"/>
        <v>171.90679932403987</v>
      </c>
      <c r="X155" s="86">
        <f t="shared" si="26"/>
        <v>20353.746082946804</v>
      </c>
    </row>
    <row r="156" spans="2:24" x14ac:dyDescent="0.25">
      <c r="B156" s="86">
        <v>144</v>
      </c>
      <c r="C156" s="89">
        <f t="shared" si="21"/>
        <v>104.04352579890177</v>
      </c>
      <c r="D156" s="89">
        <f t="shared" si="21"/>
        <v>107.48200004810263</v>
      </c>
      <c r="E156" s="89">
        <f t="shared" si="21"/>
        <v>112.67113138037669</v>
      </c>
      <c r="F156" s="90">
        <f t="shared" si="21"/>
        <v>117.26828137255845</v>
      </c>
      <c r="G156" s="89">
        <f t="shared" si="21"/>
        <v>122.72442662484973</v>
      </c>
      <c r="H156" s="89">
        <f t="shared" si="21"/>
        <v>132.21949502610764</v>
      </c>
      <c r="I156" s="90">
        <f t="shared" si="21"/>
        <v>143.33388481577572</v>
      </c>
      <c r="J156" s="89">
        <f t="shared" si="21"/>
        <v>155.05459371494041</v>
      </c>
      <c r="K156" s="89">
        <f t="shared" si="21"/>
        <v>166.13182397967756</v>
      </c>
      <c r="L156" s="90">
        <f t="shared" si="21"/>
        <v>173.00405909424495</v>
      </c>
      <c r="M156" s="89">
        <f t="shared" si="21"/>
        <v>179.11367821420123</v>
      </c>
      <c r="N156" s="89">
        <f t="shared" si="21"/>
        <v>186.39296548900901</v>
      </c>
      <c r="O156" s="89">
        <f t="shared" si="21"/>
        <v>191.45847897418656</v>
      </c>
      <c r="P156" s="89">
        <f t="shared" si="21"/>
        <v>202.18383052888359</v>
      </c>
      <c r="R156" s="89">
        <f t="shared" si="22"/>
        <v>0.81814765240808973</v>
      </c>
      <c r="S156" s="91">
        <v>144</v>
      </c>
      <c r="T156" s="89">
        <f t="shared" si="23"/>
        <v>117.26828137255845</v>
      </c>
      <c r="U156" s="89">
        <f t="shared" si="24"/>
        <v>143.33388481577572</v>
      </c>
      <c r="V156" s="89">
        <f t="shared" si="25"/>
        <v>173.00405909424495</v>
      </c>
      <c r="X156" s="86">
        <f t="shared" si="26"/>
        <v>20640.079413471703</v>
      </c>
    </row>
    <row r="157" spans="2:24" x14ac:dyDescent="0.25">
      <c r="B157" s="86">
        <v>145</v>
      </c>
      <c r="C157" s="89">
        <f t="shared" si="21"/>
        <v>104.89202740723228</v>
      </c>
      <c r="D157" s="89">
        <f t="shared" si="21"/>
        <v>108.34510095334699</v>
      </c>
      <c r="E157" s="89">
        <f t="shared" si="21"/>
        <v>113.55571355377477</v>
      </c>
      <c r="F157" s="90">
        <f t="shared" si="21"/>
        <v>118.17137180871528</v>
      </c>
      <c r="G157" s="89">
        <f t="shared" si="21"/>
        <v>123.64888672730902</v>
      </c>
      <c r="H157" s="89">
        <f t="shared" si="21"/>
        <v>133.17971616623248</v>
      </c>
      <c r="I157" s="90">
        <f t="shared" si="21"/>
        <v>144.33388099334749</v>
      </c>
      <c r="J157" s="89">
        <f t="shared" si="21"/>
        <v>156.09436675456561</v>
      </c>
      <c r="K157" s="89">
        <f t="shared" si="21"/>
        <v>167.20736560891393</v>
      </c>
      <c r="L157" s="90">
        <f t="shared" si="21"/>
        <v>174.10098056972618</v>
      </c>
      <c r="M157" s="89">
        <f t="shared" si="21"/>
        <v>180.22912239204106</v>
      </c>
      <c r="N157" s="89">
        <f t="shared" si="21"/>
        <v>187.52991695004386</v>
      </c>
      <c r="O157" s="89">
        <f t="shared" si="21"/>
        <v>192.61005484753616</v>
      </c>
      <c r="P157" s="89">
        <f t="shared" si="21"/>
        <v>203.36550060512519</v>
      </c>
      <c r="R157" s="89">
        <f t="shared" si="22"/>
        <v>0.8187361899744241</v>
      </c>
      <c r="S157" s="91">
        <v>145</v>
      </c>
      <c r="T157" s="89">
        <f t="shared" si="23"/>
        <v>118.17137180871528</v>
      </c>
      <c r="U157" s="89">
        <f t="shared" si="24"/>
        <v>144.33388099334749</v>
      </c>
      <c r="V157" s="89">
        <f t="shared" si="25"/>
        <v>174.10098056972618</v>
      </c>
      <c r="X157" s="86">
        <f t="shared" si="26"/>
        <v>20928.412744035388</v>
      </c>
    </row>
    <row r="158" spans="2:24" x14ac:dyDescent="0.25">
      <c r="B158" s="86">
        <v>146</v>
      </c>
      <c r="C158" s="89">
        <f t="shared" si="21"/>
        <v>105.7410502245213</v>
      </c>
      <c r="D158" s="89">
        <f t="shared" si="21"/>
        <v>109.20867338447356</v>
      </c>
      <c r="E158" s="89">
        <f t="shared" si="21"/>
        <v>114.44069384499831</v>
      </c>
      <c r="F158" s="90">
        <f t="shared" si="21"/>
        <v>119.07479686970959</v>
      </c>
      <c r="G158" s="89">
        <f t="shared" si="21"/>
        <v>124.57360792044672</v>
      </c>
      <c r="H158" s="89">
        <f t="shared" si="21"/>
        <v>134.14007495630918</v>
      </c>
      <c r="I158" s="90">
        <f t="shared" si="21"/>
        <v>145.33387722354144</v>
      </c>
      <c r="J158" s="89">
        <f t="shared" si="21"/>
        <v>157.1340022243208</v>
      </c>
      <c r="K158" s="89">
        <f t="shared" si="21"/>
        <v>168.28264612351478</v>
      </c>
      <c r="L158" s="90">
        <f t="shared" si="21"/>
        <v>175.19756725628142</v>
      </c>
      <c r="M158" s="89">
        <f t="shared" si="21"/>
        <v>181.3441680893159</v>
      </c>
      <c r="N158" s="89">
        <f t="shared" si="21"/>
        <v>188.66639616478162</v>
      </c>
      <c r="O158" s="89">
        <f t="shared" si="21"/>
        <v>193.76110844640726</v>
      </c>
      <c r="P158" s="89">
        <f t="shared" si="21"/>
        <v>204.54654583438861</v>
      </c>
      <c r="R158" s="89">
        <f t="shared" si="22"/>
        <v>0.81931893062040761</v>
      </c>
      <c r="S158" s="91">
        <v>146</v>
      </c>
      <c r="T158" s="89">
        <f t="shared" si="23"/>
        <v>119.07479686970959</v>
      </c>
      <c r="U158" s="89">
        <f t="shared" si="24"/>
        <v>145.33387722354144</v>
      </c>
      <c r="V158" s="89">
        <f t="shared" si="25"/>
        <v>175.19756725628142</v>
      </c>
      <c r="X158" s="86">
        <f t="shared" si="26"/>
        <v>21218.746074637049</v>
      </c>
    </row>
    <row r="159" spans="2:24" x14ac:dyDescent="0.25">
      <c r="B159" s="86">
        <v>147</v>
      </c>
      <c r="C159" s="89">
        <f t="shared" si="21"/>
        <v>106.59058890978879</v>
      </c>
      <c r="D159" s="89">
        <f t="shared" si="21"/>
        <v>110.07271250368126</v>
      </c>
      <c r="E159" s="89">
        <f t="shared" si="21"/>
        <v>115.32606816309293</v>
      </c>
      <c r="F159" s="90">
        <f t="shared" si="21"/>
        <v>119.97855311324912</v>
      </c>
      <c r="G159" s="89">
        <f t="shared" si="21"/>
        <v>125.49858751566576</v>
      </c>
      <c r="H159" s="89">
        <f t="shared" si="21"/>
        <v>135.10056997710484</v>
      </c>
      <c r="I159" s="90">
        <f t="shared" si="21"/>
        <v>146.33387350527838</v>
      </c>
      <c r="J159" s="89">
        <f t="shared" si="21"/>
        <v>158.17350154179744</v>
      </c>
      <c r="K159" s="89">
        <f t="shared" si="21"/>
        <v>169.35766821257093</v>
      </c>
      <c r="L159" s="90">
        <f t="shared" si="21"/>
        <v>176.29382259957035</v>
      </c>
      <c r="M159" s="89">
        <f t="shared" si="21"/>
        <v>182.45881940441882</v>
      </c>
      <c r="N159" s="89">
        <f t="shared" si="21"/>
        <v>189.80240798578782</v>
      </c>
      <c r="O159" s="89">
        <f t="shared" si="21"/>
        <v>194.91164513360843</v>
      </c>
      <c r="P159" s="89">
        <f t="shared" si="21"/>
        <v>205.72697262210653</v>
      </c>
      <c r="R159" s="89">
        <f t="shared" si="22"/>
        <v>0.8198959696704905</v>
      </c>
      <c r="S159" s="91">
        <v>147</v>
      </c>
      <c r="T159" s="89">
        <f t="shared" si="23"/>
        <v>119.97855311324912</v>
      </c>
      <c r="U159" s="89">
        <f t="shared" si="24"/>
        <v>146.33387350527838</v>
      </c>
      <c r="V159" s="89">
        <f t="shared" si="25"/>
        <v>176.29382259957035</v>
      </c>
      <c r="X159" s="86">
        <f t="shared" si="26"/>
        <v>21511.079405275923</v>
      </c>
    </row>
    <row r="160" spans="2:24" x14ac:dyDescent="0.25">
      <c r="B160" s="86">
        <v>148</v>
      </c>
      <c r="C160" s="89">
        <f t="shared" si="21"/>
        <v>107.44063821262952</v>
      </c>
      <c r="D160" s="89">
        <f t="shared" si="21"/>
        <v>110.93721355531643</v>
      </c>
      <c r="E160" s="89">
        <f t="shared" si="21"/>
        <v>116.21183248668196</v>
      </c>
      <c r="F160" s="90">
        <f t="shared" si="21"/>
        <v>120.88263715565395</v>
      </c>
      <c r="G160" s="89">
        <f t="shared" si="21"/>
        <v>126.42382287019674</v>
      </c>
      <c r="H160" s="89">
        <f t="shared" si="21"/>
        <v>136.06119983360946</v>
      </c>
      <c r="I160" s="90">
        <f t="shared" si="21"/>
        <v>147.33386983750842</v>
      </c>
      <c r="J160" s="89">
        <f t="shared" si="21"/>
        <v>159.21286610040866</v>
      </c>
      <c r="K160" s="89">
        <f t="shared" si="21"/>
        <v>170.43243451933202</v>
      </c>
      <c r="L160" s="90">
        <f t="shared" si="21"/>
        <v>177.38974998654876</v>
      </c>
      <c r="M160" s="89">
        <f t="shared" si="21"/>
        <v>183.57308036596308</v>
      </c>
      <c r="N160" s="89">
        <f t="shared" si="21"/>
        <v>190.93795718307999</v>
      </c>
      <c r="O160" s="89">
        <f t="shared" si="21"/>
        <v>196.06167018078168</v>
      </c>
      <c r="P160" s="89">
        <f t="shared" si="21"/>
        <v>206.90678726498919</v>
      </c>
      <c r="R160" s="89">
        <f t="shared" si="22"/>
        <v>0.82046740025883391</v>
      </c>
      <c r="S160" s="91">
        <v>148</v>
      </c>
      <c r="T160" s="89">
        <f t="shared" si="23"/>
        <v>120.88263715565395</v>
      </c>
      <c r="U160" s="89">
        <f t="shared" si="24"/>
        <v>147.33386983750842</v>
      </c>
      <c r="V160" s="89">
        <f t="shared" si="25"/>
        <v>177.38974998654876</v>
      </c>
      <c r="X160" s="86">
        <f t="shared" si="26"/>
        <v>21805.412735951246</v>
      </c>
    </row>
    <row r="161" spans="2:24" x14ac:dyDescent="0.25">
      <c r="B161" s="86">
        <v>149</v>
      </c>
      <c r="C161" s="89">
        <f t="shared" si="21"/>
        <v>108.29119297107695</v>
      </c>
      <c r="D161" s="89">
        <f t="shared" si="21"/>
        <v>111.80217186393315</v>
      </c>
      <c r="E161" s="89">
        <f t="shared" si="21"/>
        <v>117.09798286232113</v>
      </c>
      <c r="F161" s="90">
        <f t="shared" si="21"/>
        <v>121.7870456704688</v>
      </c>
      <c r="G161" s="89">
        <f t="shared" si="21"/>
        <v>127.34931138601192</v>
      </c>
      <c r="H161" s="89">
        <f t="shared" si="21"/>
        <v>137.02196315446108</v>
      </c>
      <c r="I161" s="90">
        <f t="shared" si="21"/>
        <v>148.33386621920997</v>
      </c>
      <c r="J161" s="89">
        <f t="shared" si="21"/>
        <v>160.25209726996255</v>
      </c>
      <c r="K161" s="89">
        <f t="shared" si="21"/>
        <v>171.50694764229306</v>
      </c>
      <c r="L161" s="90">
        <f t="shared" si="21"/>
        <v>178.48535274685938</v>
      </c>
      <c r="M161" s="89">
        <f t="shared" si="21"/>
        <v>184.68695493443445</v>
      </c>
      <c r="N161" s="89">
        <f t="shared" si="21"/>
        <v>192.07304844608052</v>
      </c>
      <c r="O161" s="89">
        <f t="shared" si="21"/>
        <v>197.21118877055744</v>
      </c>
      <c r="P161" s="89">
        <f t="shared" si="21"/>
        <v>208.08599595359127</v>
      </c>
      <c r="R161" s="89">
        <f t="shared" si="22"/>
        <v>0.82103331339378771</v>
      </c>
      <c r="S161" s="91">
        <v>149</v>
      </c>
      <c r="T161" s="89">
        <f t="shared" si="23"/>
        <v>121.7870456704688</v>
      </c>
      <c r="U161" s="89">
        <f t="shared" si="24"/>
        <v>148.33386621920997</v>
      </c>
      <c r="V161" s="89">
        <f t="shared" si="25"/>
        <v>178.48535274685938</v>
      </c>
      <c r="X161" s="86">
        <f t="shared" si="26"/>
        <v>22101.746066662286</v>
      </c>
    </row>
    <row r="162" spans="2:24" x14ac:dyDescent="0.25">
      <c r="B162" s="86">
        <v>150</v>
      </c>
      <c r="C162" s="89">
        <f t="shared" si="21"/>
        <v>109.14224810953257</v>
      </c>
      <c r="D162" s="89">
        <f t="shared" si="21"/>
        <v>112.66758283241272</v>
      </c>
      <c r="E162" s="89">
        <f t="shared" si="21"/>
        <v>117.98451540290291</v>
      </c>
      <c r="F162" s="90">
        <f t="shared" si="21"/>
        <v>122.6917753871173</v>
      </c>
      <c r="G162" s="89">
        <f t="shared" si="21"/>
        <v>128.27505050877178</v>
      </c>
      <c r="H162" s="89">
        <f t="shared" si="21"/>
        <v>137.98285859138826</v>
      </c>
      <c r="I162" s="90">
        <f t="shared" si="21"/>
        <v>149.33386264938889</v>
      </c>
      <c r="J162" s="89">
        <f t="shared" si="21"/>
        <v>161.2911963972183</v>
      </c>
      <c r="K162" s="89">
        <f t="shared" si="21"/>
        <v>172.58121013624827</v>
      </c>
      <c r="L162" s="90">
        <f t="shared" si="21"/>
        <v>179.58063415418053</v>
      </c>
      <c r="M162" s="89">
        <f t="shared" si="21"/>
        <v>185.80044700379327</v>
      </c>
      <c r="N162" s="89">
        <f t="shared" si="21"/>
        <v>193.20768638551058</v>
      </c>
      <c r="O162" s="89">
        <f t="shared" si="21"/>
        <v>198.3602059986454</v>
      </c>
      <c r="P162" s="89">
        <f t="shared" si="21"/>
        <v>209.26460477480072</v>
      </c>
      <c r="R162" s="89">
        <f t="shared" si="22"/>
        <v>0.82159379802005938</v>
      </c>
      <c r="S162" s="91">
        <v>150</v>
      </c>
      <c r="T162" s="89">
        <f t="shared" si="23"/>
        <v>122.6917753871173</v>
      </c>
      <c r="U162" s="89">
        <f t="shared" si="24"/>
        <v>149.33386264938889</v>
      </c>
      <c r="V162" s="89">
        <f t="shared" si="25"/>
        <v>179.58063415418053</v>
      </c>
      <c r="X162" s="86">
        <f t="shared" si="26"/>
        <v>22400.079397408335</v>
      </c>
    </row>
    <row r="163" spans="2:24" x14ac:dyDescent="0.25">
      <c r="B163" s="86">
        <v>151</v>
      </c>
      <c r="C163" s="89">
        <f t="shared" si="21"/>
        <v>109.99379863675696</v>
      </c>
      <c r="D163" s="89">
        <f t="shared" si="21"/>
        <v>113.53344194013869</v>
      </c>
      <c r="E163" s="89">
        <f t="shared" si="21"/>
        <v>118.87142628610871</v>
      </c>
      <c r="F163" s="90">
        <f t="shared" si="21"/>
        <v>123.59682308959674</v>
      </c>
      <c r="G163" s="89">
        <f t="shared" si="21"/>
        <v>129.20103772680343</v>
      </c>
      <c r="H163" s="89">
        <f t="shared" si="21"/>
        <v>138.94388481866943</v>
      </c>
      <c r="I163" s="90">
        <f t="shared" si="21"/>
        <v>150.33385912707737</v>
      </c>
      <c r="J163" s="89">
        <f t="shared" si="21"/>
        <v>162.33016480642544</v>
      </c>
      <c r="K163" s="89">
        <f t="shared" si="21"/>
        <v>173.65522451331296</v>
      </c>
      <c r="L163" s="90">
        <f t="shared" si="21"/>
        <v>180.67559742753429</v>
      </c>
      <c r="M163" s="89">
        <f t="shared" si="21"/>
        <v>186.9135604030285</v>
      </c>
      <c r="N163" s="89">
        <f t="shared" si="21"/>
        <v>194.34187553522696</v>
      </c>
      <c r="O163" s="89">
        <f t="shared" si="21"/>
        <v>199.50872687586158</v>
      </c>
      <c r="P163" s="89">
        <f t="shared" si="21"/>
        <v>210.44261971425402</v>
      </c>
      <c r="R163" s="89">
        <f t="shared" si="22"/>
        <v>0.82214894107867087</v>
      </c>
      <c r="S163" s="91">
        <v>151</v>
      </c>
      <c r="T163" s="89">
        <f t="shared" si="23"/>
        <v>123.59682308959674</v>
      </c>
      <c r="U163" s="89">
        <f t="shared" si="24"/>
        <v>150.33385912707737</v>
      </c>
      <c r="V163" s="89">
        <f t="shared" si="25"/>
        <v>180.67559742753429</v>
      </c>
      <c r="X163" s="86">
        <f t="shared" si="26"/>
        <v>22700.412728188683</v>
      </c>
    </row>
    <row r="164" spans="2:24" x14ac:dyDescent="0.25">
      <c r="B164" s="86">
        <v>152</v>
      </c>
      <c r="C164" s="89">
        <f t="shared" si="21"/>
        <v>110.84583964391943</v>
      </c>
      <c r="D164" s="89">
        <f t="shared" si="21"/>
        <v>114.39974474122707</v>
      </c>
      <c r="E164" s="89">
        <f t="shared" si="21"/>
        <v>119.7587117529072</v>
      </c>
      <c r="F164" s="90">
        <f t="shared" si="21"/>
        <v>124.5021856152117</v>
      </c>
      <c r="G164" s="89">
        <f t="shared" si="21"/>
        <v>130.12727057010954</v>
      </c>
      <c r="H164" s="89">
        <f t="shared" si="21"/>
        <v>139.90504053260838</v>
      </c>
      <c r="I164" s="90">
        <f t="shared" si="21"/>
        <v>151.33385565133332</v>
      </c>
      <c r="J164" s="89">
        <f t="shared" si="21"/>
        <v>163.36900379984715</v>
      </c>
      <c r="K164" s="89">
        <f t="shared" si="21"/>
        <v>174.72899324391531</v>
      </c>
      <c r="L164" s="90">
        <f t="shared" si="21"/>
        <v>181.77024573255548</v>
      </c>
      <c r="M164" s="89">
        <f t="shared" si="21"/>
        <v>188.02629889766553</v>
      </c>
      <c r="N164" s="89">
        <f t="shared" si="21"/>
        <v>195.47562035400435</v>
      </c>
      <c r="O164" s="89">
        <f t="shared" si="21"/>
        <v>200.6567563300957</v>
      </c>
      <c r="P164" s="89">
        <f t="shared" si="21"/>
        <v>211.62004665867849</v>
      </c>
      <c r="R164" s="89">
        <f t="shared" si="22"/>
        <v>0.82269882756479396</v>
      </c>
      <c r="S164" s="91">
        <v>152</v>
      </c>
      <c r="T164" s="89">
        <f t="shared" si="23"/>
        <v>124.5021856152117</v>
      </c>
      <c r="U164" s="89">
        <f t="shared" si="24"/>
        <v>151.33385565133332</v>
      </c>
      <c r="V164" s="89">
        <f t="shared" si="25"/>
        <v>181.77024573255548</v>
      </c>
      <c r="X164" s="86">
        <f t="shared" si="26"/>
        <v>23002.746059002664</v>
      </c>
    </row>
    <row r="165" spans="2:24" x14ac:dyDescent="0.25">
      <c r="B165" s="86">
        <v>153</v>
      </c>
      <c r="C165" s="89">
        <f t="shared" si="21"/>
        <v>111.69836630270694</v>
      </c>
      <c r="D165" s="89">
        <f t="shared" si="21"/>
        <v>115.26648686280825</v>
      </c>
      <c r="E165" s="89">
        <f t="shared" si="21"/>
        <v>120.64636810609716</v>
      </c>
      <c r="F165" s="90">
        <f t="shared" si="21"/>
        <v>125.40785985334529</v>
      </c>
      <c r="G165" s="89">
        <f t="shared" si="21"/>
        <v>131.05374660940655</v>
      </c>
      <c r="H165" s="89">
        <f t="shared" si="21"/>
        <v>140.86632445102529</v>
      </c>
      <c r="I165" s="90">
        <f t="shared" si="21"/>
        <v>152.33385222123928</v>
      </c>
      <c r="J165" s="89">
        <f t="shared" si="21"/>
        <v>164.40771465826768</v>
      </c>
      <c r="K165" s="89">
        <f t="shared" si="21"/>
        <v>175.80251875775818</v>
      </c>
      <c r="L165" s="90">
        <f t="shared" si="21"/>
        <v>182.86458218272335</v>
      </c>
      <c r="M165" s="89">
        <f t="shared" si="21"/>
        <v>189.13866619122911</v>
      </c>
      <c r="N165" s="89">
        <f t="shared" si="21"/>
        <v>196.60892522726479</v>
      </c>
      <c r="O165" s="89">
        <f t="shared" si="21"/>
        <v>201.80429920822013</v>
      </c>
      <c r="P165" s="89">
        <f t="shared" si="21"/>
        <v>212.79689139816605</v>
      </c>
      <c r="R165" s="89">
        <f t="shared" si="22"/>
        <v>0.82324354058355642</v>
      </c>
      <c r="S165" s="91">
        <v>153</v>
      </c>
      <c r="T165" s="89">
        <f t="shared" si="23"/>
        <v>125.40785985334529</v>
      </c>
      <c r="U165" s="89">
        <f t="shared" si="24"/>
        <v>152.33385222123928</v>
      </c>
      <c r="V165" s="89">
        <f t="shared" si="25"/>
        <v>182.86458218272335</v>
      </c>
      <c r="X165" s="86">
        <f t="shared" si="26"/>
        <v>23307.079389849609</v>
      </c>
    </row>
    <row r="166" spans="2:24" x14ac:dyDescent="0.25">
      <c r="B166" s="86">
        <v>154</v>
      </c>
      <c r="C166" s="89">
        <f t="shared" si="21"/>
        <v>112.55137386348736</v>
      </c>
      <c r="D166" s="89">
        <f t="shared" si="21"/>
        <v>116.13366400335904</v>
      </c>
      <c r="E166" s="89">
        <f t="shared" si="21"/>
        <v>121.53439170889305</v>
      </c>
      <c r="F166" s="90">
        <f t="shared" si="21"/>
        <v>126.31384274426632</v>
      </c>
      <c r="G166" s="89">
        <f t="shared" si="21"/>
        <v>131.98046345519137</v>
      </c>
      <c r="H166" s="89">
        <f t="shared" si="21"/>
        <v>141.82773531276283</v>
      </c>
      <c r="I166" s="90">
        <f t="shared" si="21"/>
        <v>153.33384883590188</v>
      </c>
      <c r="J166" s="89">
        <f t="shared" si="21"/>
        <v>165.44629864148533</v>
      </c>
      <c r="K166" s="89">
        <f t="shared" si="21"/>
        <v>176.87580344475307</v>
      </c>
      <c r="L166" s="90">
        <f t="shared" si="21"/>
        <v>183.95860984055648</v>
      </c>
      <c r="M166" s="89">
        <f t="shared" si="21"/>
        <v>190.2506659266632</v>
      </c>
      <c r="N166" s="89">
        <f t="shared" si="21"/>
        <v>197.74179446875621</v>
      </c>
      <c r="O166" s="89">
        <f t="shared" si="21"/>
        <v>202.95136027794263</v>
      </c>
      <c r="P166" s="89">
        <f t="shared" si="21"/>
        <v>213.97315962838024</v>
      </c>
      <c r="R166" s="89">
        <f t="shared" si="22"/>
        <v>0.82378316140389585</v>
      </c>
      <c r="S166" s="91">
        <v>154</v>
      </c>
      <c r="T166" s="89">
        <f t="shared" si="23"/>
        <v>126.31384274426632</v>
      </c>
      <c r="U166" s="89">
        <f t="shared" si="24"/>
        <v>153.33384883590188</v>
      </c>
      <c r="V166" s="89">
        <f t="shared" si="25"/>
        <v>183.95860984055648</v>
      </c>
      <c r="X166" s="86">
        <f t="shared" si="26"/>
        <v>23613.412720728888</v>
      </c>
    </row>
    <row r="167" spans="2:24" x14ac:dyDescent="0.25">
      <c r="B167" s="86">
        <v>155</v>
      </c>
      <c r="C167" s="89">
        <f t="shared" si="21"/>
        <v>113.40485765352575</v>
      </c>
      <c r="D167" s="89">
        <f t="shared" si="21"/>
        <v>117.00127193108457</v>
      </c>
      <c r="E167" s="89">
        <f t="shared" si="21"/>
        <v>122.42277898355199</v>
      </c>
      <c r="F167" s="90">
        <f t="shared" si="21"/>
        <v>127.22013127797173</v>
      </c>
      <c r="G167" s="89">
        <f t="shared" si="21"/>
        <v>132.90741875683528</v>
      </c>
      <c r="H167" s="89">
        <f t="shared" si="21"/>
        <v>142.78927187720674</v>
      </c>
      <c r="I167" s="90">
        <f t="shared" si="21"/>
        <v>154.33384549445071</v>
      </c>
      <c r="J167" s="89">
        <f t="shared" si="21"/>
        <v>166.48475698879045</v>
      </c>
      <c r="K167" s="89">
        <f t="shared" si="21"/>
        <v>177.94884965592647</v>
      </c>
      <c r="L167" s="90">
        <f t="shared" si="21"/>
        <v>185.05233171877308</v>
      </c>
      <c r="M167" s="89">
        <f t="shared" si="21"/>
        <v>191.36230168770953</v>
      </c>
      <c r="N167" s="89">
        <f t="shared" si="21"/>
        <v>198.87423232218188</v>
      </c>
      <c r="O167" s="89">
        <f t="shared" si="21"/>
        <v>204.09794422960493</v>
      </c>
      <c r="P167" s="89">
        <f t="shared" si="21"/>
        <v>215.14885695269814</v>
      </c>
      <c r="R167" s="89">
        <f t="shared" si="22"/>
        <v>0.8243177695105518</v>
      </c>
      <c r="S167" s="91">
        <v>155</v>
      </c>
      <c r="T167" s="89">
        <f t="shared" si="23"/>
        <v>127.22013127797173</v>
      </c>
      <c r="U167" s="89">
        <f t="shared" si="24"/>
        <v>154.33384549445071</v>
      </c>
      <c r="V167" s="89">
        <f t="shared" si="25"/>
        <v>185.05233171877308</v>
      </c>
      <c r="X167" s="86">
        <f t="shared" si="26"/>
        <v>23921.746051639861</v>
      </c>
    </row>
    <row r="168" spans="2:24" x14ac:dyDescent="0.25">
      <c r="B168" s="86">
        <v>156</v>
      </c>
      <c r="C168" s="89">
        <f t="shared" si="21"/>
        <v>114.25881307525441</v>
      </c>
      <c r="D168" s="89">
        <f t="shared" si="21"/>
        <v>117.86930648234568</v>
      </c>
      <c r="E168" s="89">
        <f t="shared" si="21"/>
        <v>123.31152641004067</v>
      </c>
      <c r="F168" s="90">
        <f t="shared" si="21"/>
        <v>128.12672249306246</v>
      </c>
      <c r="G168" s="89">
        <f t="shared" si="21"/>
        <v>133.83461020170435</v>
      </c>
      <c r="H168" s="89">
        <f t="shared" si="21"/>
        <v>143.75093292382039</v>
      </c>
      <c r="I168" s="90">
        <f t="shared" si="21"/>
        <v>155.33384219603798</v>
      </c>
      <c r="J168" s="89">
        <f t="shared" si="21"/>
        <v>167.5230909194299</v>
      </c>
      <c r="K168" s="89">
        <f t="shared" si="21"/>
        <v>179.02165970429976</v>
      </c>
      <c r="L168" s="90">
        <f t="shared" si="21"/>
        <v>186.14575078141746</v>
      </c>
      <c r="M168" s="89">
        <f t="shared" si="21"/>
        <v>192.4735770002458</v>
      </c>
      <c r="N168" s="89">
        <f t="shared" si="21"/>
        <v>200.00624296278252</v>
      </c>
      <c r="O168" s="89">
        <f t="shared" si="21"/>
        <v>205.24405567792934</v>
      </c>
      <c r="P168" s="89">
        <f t="shared" si="21"/>
        <v>216.32398888429131</v>
      </c>
      <c r="R168" s="89">
        <f t="shared" si="22"/>
        <v>0.82484744265426102</v>
      </c>
      <c r="S168" s="91">
        <v>156</v>
      </c>
      <c r="T168" s="89">
        <f t="shared" si="23"/>
        <v>128.12672249306246</v>
      </c>
      <c r="U168" s="89">
        <f t="shared" si="24"/>
        <v>155.33384219603798</v>
      </c>
      <c r="V168" s="89">
        <f t="shared" si="25"/>
        <v>186.14575078141746</v>
      </c>
      <c r="X168" s="86">
        <f t="shared" si="26"/>
        <v>24232.079382581924</v>
      </c>
    </row>
    <row r="169" spans="2:24" x14ac:dyDescent="0.25">
      <c r="B169" s="86">
        <v>157</v>
      </c>
      <c r="C169" s="89">
        <f t="shared" si="21"/>
        <v>115.11323560458976</v>
      </c>
      <c r="D169" s="89">
        <f t="shared" si="21"/>
        <v>118.73776356013248</v>
      </c>
      <c r="E169" s="89">
        <f t="shared" si="21"/>
        <v>124.20063052474042</v>
      </c>
      <c r="F169" s="90">
        <f t="shared" si="21"/>
        <v>129.03361347565163</v>
      </c>
      <c r="G169" s="89">
        <f t="shared" si="21"/>
        <v>134.76203551430501</v>
      </c>
      <c r="H169" s="89">
        <f t="shared" si="21"/>
        <v>144.71271725169268</v>
      </c>
      <c r="I169" s="90">
        <f t="shared" si="21"/>
        <v>156.33383893983748</v>
      </c>
      <c r="J169" s="89">
        <f t="shared" si="21"/>
        <v>168.56130163305795</v>
      </c>
      <c r="K169" s="89">
        <f t="shared" si="21"/>
        <v>180.09423586574397</v>
      </c>
      <c r="L169" s="90">
        <f t="shared" si="21"/>
        <v>187.23886994495388</v>
      </c>
      <c r="M169" s="89">
        <f t="shared" si="21"/>
        <v>193.58449533358535</v>
      </c>
      <c r="N169" s="89">
        <f t="shared" si="21"/>
        <v>201.13783049887294</v>
      </c>
      <c r="O169" s="89">
        <f t="shared" si="21"/>
        <v>206.38969916371474</v>
      </c>
      <c r="P169" s="89">
        <f t="shared" si="21"/>
        <v>217.49856084814567</v>
      </c>
      <c r="R169" s="89">
        <f t="shared" si="22"/>
        <v>0.82537225690023586</v>
      </c>
      <c r="S169" s="91">
        <v>157</v>
      </c>
      <c r="T169" s="89">
        <f t="shared" si="23"/>
        <v>129.03361347565163</v>
      </c>
      <c r="U169" s="89">
        <f t="shared" si="24"/>
        <v>156.33383893983748</v>
      </c>
      <c r="V169" s="89">
        <f t="shared" si="25"/>
        <v>187.23886994495388</v>
      </c>
      <c r="X169" s="86">
        <f t="shared" si="26"/>
        <v>24544.412713554484</v>
      </c>
    </row>
    <row r="170" spans="2:24" x14ac:dyDescent="0.25">
      <c r="B170" s="86">
        <v>158</v>
      </c>
      <c r="C170" s="89">
        <f t="shared" si="21"/>
        <v>115.96812078929987</v>
      </c>
      <c r="D170" s="89">
        <f t="shared" si="21"/>
        <v>119.60663913258141</v>
      </c>
      <c r="E170" s="89">
        <f t="shared" si="21"/>
        <v>125.09008791918973</v>
      </c>
      <c r="F170" s="90">
        <f t="shared" si="21"/>
        <v>129.94080135830438</v>
      </c>
      <c r="G170" s="89">
        <f t="shared" si="21"/>
        <v>135.68969245545458</v>
      </c>
      <c r="H170" s="89">
        <f t="shared" si="21"/>
        <v>145.67462367909928</v>
      </c>
      <c r="I170" s="90">
        <f t="shared" si="21"/>
        <v>157.33383572504403</v>
      </c>
      <c r="J170" s="89">
        <f t="shared" si="21"/>
        <v>169.59939031017416</v>
      </c>
      <c r="K170" s="89">
        <f t="shared" si="21"/>
        <v>181.16658037980969</v>
      </c>
      <c r="L170" s="90">
        <f t="shared" si="21"/>
        <v>188.33169207932906</v>
      </c>
      <c r="M170" s="89">
        <f t="shared" si="21"/>
        <v>194.69506010173959</v>
      </c>
      <c r="N170" s="89">
        <f t="shared" si="21"/>
        <v>202.26899897333433</v>
      </c>
      <c r="O170" s="89">
        <f t="shared" si="21"/>
        <v>207.53487915548416</v>
      </c>
      <c r="P170" s="89">
        <f t="shared" si="21"/>
        <v>218.67257818302437</v>
      </c>
      <c r="R170" s="89">
        <f t="shared" si="22"/>
        <v>0.82589228667499348</v>
      </c>
      <c r="S170" s="91">
        <v>158</v>
      </c>
      <c r="T170" s="89">
        <f t="shared" si="23"/>
        <v>129.94080135830438</v>
      </c>
      <c r="U170" s="89">
        <f t="shared" si="24"/>
        <v>157.33383572504403</v>
      </c>
      <c r="V170" s="89">
        <f t="shared" si="25"/>
        <v>188.33169207932906</v>
      </c>
      <c r="X170" s="86">
        <f t="shared" si="26"/>
        <v>24858.746044556956</v>
      </c>
    </row>
    <row r="171" spans="2:24" x14ac:dyDescent="0.25">
      <c r="B171" s="86">
        <v>159</v>
      </c>
      <c r="C171" s="89">
        <f t="shared" si="21"/>
        <v>116.82346424741658</v>
      </c>
      <c r="D171" s="89">
        <f t="shared" si="21"/>
        <v>120.47592923153417</v>
      </c>
      <c r="E171" s="89">
        <f t="shared" si="21"/>
        <v>125.97989523886251</v>
      </c>
      <c r="F171" s="90">
        <f t="shared" si="21"/>
        <v>130.84828331900775</v>
      </c>
      <c r="G171" s="89">
        <f t="shared" si="21"/>
        <v>136.61757882147501</v>
      </c>
      <c r="H171" s="89">
        <f t="shared" si="21"/>
        <v>146.63665104307589</v>
      </c>
      <c r="I171" s="90">
        <f t="shared" si="21"/>
        <v>158.33383255087281</v>
      </c>
      <c r="J171" s="89">
        <f t="shared" si="21"/>
        <v>170.63735811254887</v>
      </c>
      <c r="K171" s="89">
        <f t="shared" si="21"/>
        <v>182.23869545053341</v>
      </c>
      <c r="L171" s="90">
        <f t="shared" si="21"/>
        <v>189.42422000900433</v>
      </c>
      <c r="M171" s="89">
        <f t="shared" si="21"/>
        <v>195.80527466464432</v>
      </c>
      <c r="N171" s="89">
        <f t="shared" si="21"/>
        <v>203.39975236506427</v>
      </c>
      <c r="O171" s="89">
        <f t="shared" si="21"/>
        <v>208.67960005108509</v>
      </c>
      <c r="P171" s="89">
        <f t="shared" si="21"/>
        <v>219.84604614337454</v>
      </c>
      <c r="R171" s="89">
        <f t="shared" si="22"/>
        <v>0.82640760481160003</v>
      </c>
      <c r="S171" s="91">
        <v>159</v>
      </c>
      <c r="T171" s="89">
        <f t="shared" si="23"/>
        <v>130.84828331900775</v>
      </c>
      <c r="U171" s="89">
        <f t="shared" si="24"/>
        <v>158.33383255087281</v>
      </c>
      <c r="V171" s="89">
        <f t="shared" si="25"/>
        <v>189.42422000900433</v>
      </c>
      <c r="X171" s="86">
        <f t="shared" si="26"/>
        <v>25175.079375588779</v>
      </c>
    </row>
    <row r="172" spans="2:24" x14ac:dyDescent="0.25">
      <c r="B172" s="86">
        <v>160</v>
      </c>
      <c r="C172" s="89">
        <f t="shared" si="21"/>
        <v>117.67926166569372</v>
      </c>
      <c r="D172" s="89">
        <f t="shared" si="21"/>
        <v>121.34562995113782</v>
      </c>
      <c r="E172" s="89">
        <f t="shared" si="21"/>
        <v>126.8700491819807</v>
      </c>
      <c r="F172" s="90">
        <f t="shared" si="21"/>
        <v>131.75605658016963</v>
      </c>
      <c r="G172" s="89">
        <f t="shared" si="21"/>
        <v>137.54569244340991</v>
      </c>
      <c r="H172" s="89">
        <f t="shared" si="21"/>
        <v>147.59879819900411</v>
      </c>
      <c r="I172" s="90">
        <f t="shared" si="21"/>
        <v>159.33382941655873</v>
      </c>
      <c r="J172" s="89">
        <f t="shared" si="21"/>
        <v>171.6752061836365</v>
      </c>
      <c r="K172" s="89">
        <f t="shared" si="21"/>
        <v>183.31058324722107</v>
      </c>
      <c r="L172" s="90">
        <f t="shared" si="21"/>
        <v>190.51645651395853</v>
      </c>
      <c r="M172" s="89">
        <f t="shared" si="21"/>
        <v>196.91514232935148</v>
      </c>
      <c r="N172" s="89">
        <f t="shared" si="21"/>
        <v>204.53009459038549</v>
      </c>
      <c r="O172" s="89">
        <f t="shared" ref="O172:P172" si="28">CHIINV(O$12,$B172)</f>
        <v>209.82386617924519</v>
      </c>
      <c r="P172" s="89">
        <f t="shared" si="28"/>
        <v>221.01896990118004</v>
      </c>
      <c r="R172" s="89">
        <f t="shared" si="22"/>
        <v>0.8269182825933945</v>
      </c>
      <c r="S172" s="91">
        <v>160</v>
      </c>
      <c r="T172" s="89">
        <f t="shared" si="23"/>
        <v>131.75605658016963</v>
      </c>
      <c r="U172" s="89">
        <f t="shared" si="24"/>
        <v>159.33382941655873</v>
      </c>
      <c r="V172" s="89">
        <f t="shared" si="25"/>
        <v>190.51645651395853</v>
      </c>
      <c r="X172" s="86">
        <f t="shared" si="26"/>
        <v>25493.412706649397</v>
      </c>
    </row>
    <row r="173" spans="2:24" x14ac:dyDescent="0.25">
      <c r="B173" s="86">
        <v>161</v>
      </c>
      <c r="C173" s="89">
        <f t="shared" ref="C173:P191" si="29">CHIINV(C$12,$B173)</f>
        <v>118.53550879810746</v>
      </c>
      <c r="D173" s="89">
        <f t="shared" si="29"/>
        <v>122.21573744648389</v>
      </c>
      <c r="E173" s="89">
        <f t="shared" si="29"/>
        <v>127.7605464983605</v>
      </c>
      <c r="F173" s="90">
        <f t="shared" si="29"/>
        <v>132.66411840764624</v>
      </c>
      <c r="G173" s="89">
        <f t="shared" si="29"/>
        <v>138.47403118626326</v>
      </c>
      <c r="H173" s="89">
        <f t="shared" si="29"/>
        <v>148.56106402020873</v>
      </c>
      <c r="I173" s="90">
        <f t="shared" si="29"/>
        <v>160.33382632135579</v>
      </c>
      <c r="J173" s="89">
        <f t="shared" si="29"/>
        <v>172.71293564897741</v>
      </c>
      <c r="K173" s="89">
        <f t="shared" si="29"/>
        <v>184.38224590520932</v>
      </c>
      <c r="L173" s="90">
        <f t="shared" si="29"/>
        <v>191.60840433066272</v>
      </c>
      <c r="M173" s="89">
        <f t="shared" si="29"/>
        <v>198.02466635118705</v>
      </c>
      <c r="N173" s="89">
        <f t="shared" si="29"/>
        <v>205.66002950441529</v>
      </c>
      <c r="O173" s="89">
        <f t="shared" si="29"/>
        <v>210.9676818010833</v>
      </c>
      <c r="P173" s="89">
        <f t="shared" si="29"/>
        <v>222.19135454776253</v>
      </c>
      <c r="R173" s="89">
        <f t="shared" si="22"/>
        <v>0.8274243897962531</v>
      </c>
      <c r="S173" s="91">
        <v>161</v>
      </c>
      <c r="T173" s="89">
        <f t="shared" si="23"/>
        <v>132.66411840764624</v>
      </c>
      <c r="U173" s="89">
        <f t="shared" si="24"/>
        <v>160.33382632135579</v>
      </c>
      <c r="V173" s="89">
        <f t="shared" si="25"/>
        <v>191.60840433066272</v>
      </c>
      <c r="X173" s="86">
        <f t="shared" si="26"/>
        <v>25813.746037738281</v>
      </c>
    </row>
    <row r="174" spans="2:24" x14ac:dyDescent="0.25">
      <c r="B174" s="86">
        <v>162</v>
      </c>
      <c r="C174" s="89">
        <f t="shared" si="29"/>
        <v>119.39220146439946</v>
      </c>
      <c r="D174" s="89">
        <f t="shared" si="29"/>
        <v>123.08624793228535</v>
      </c>
      <c r="E174" s="89">
        <f t="shared" si="29"/>
        <v>128.65138398829075</v>
      </c>
      <c r="F174" s="90">
        <f t="shared" si="29"/>
        <v>133.57246610979638</v>
      </c>
      <c r="G174" s="89">
        <f t="shared" si="29"/>
        <v>139.40259294825975</v>
      </c>
      <c r="H174" s="89">
        <f t="shared" si="29"/>
        <v>149.5234473975664</v>
      </c>
      <c r="I174" s="90">
        <f t="shared" si="29"/>
        <v>161.33382326453645</v>
      </c>
      <c r="J174" s="89">
        <f t="shared" si="29"/>
        <v>173.75054761658814</v>
      </c>
      <c r="K174" s="89">
        <f t="shared" si="29"/>
        <v>185.45368552660571</v>
      </c>
      <c r="L174" s="90">
        <f t="shared" si="29"/>
        <v>192.70006615302756</v>
      </c>
      <c r="M174" s="89">
        <f t="shared" si="29"/>
        <v>199.13384993487693</v>
      </c>
      <c r="N174" s="89">
        <f t="shared" si="29"/>
        <v>206.78956090239623</v>
      </c>
      <c r="O174" s="89">
        <f t="shared" si="29"/>
        <v>212.11105111157931</v>
      </c>
      <c r="P174" s="89">
        <f t="shared" si="29"/>
        <v>223.36320509553184</v>
      </c>
      <c r="R174" s="89">
        <f t="shared" si="22"/>
        <v>0.8279259947294485</v>
      </c>
      <c r="S174" s="91">
        <v>162</v>
      </c>
      <c r="T174" s="89">
        <f t="shared" si="23"/>
        <v>133.57246610979638</v>
      </c>
      <c r="U174" s="89">
        <f t="shared" si="24"/>
        <v>161.33382326453645</v>
      </c>
      <c r="V174" s="89">
        <f t="shared" si="25"/>
        <v>192.70006615302756</v>
      </c>
      <c r="X174" s="86">
        <f t="shared" si="26"/>
        <v>26136.079368854906</v>
      </c>
    </row>
    <row r="175" spans="2:24" x14ac:dyDescent="0.25">
      <c r="B175" s="86">
        <v>163</v>
      </c>
      <c r="C175" s="89">
        <f t="shared" si="29"/>
        <v>120.24933554865923</v>
      </c>
      <c r="D175" s="89">
        <f t="shared" si="29"/>
        <v>123.95715768159076</v>
      </c>
      <c r="E175" s="89">
        <f t="shared" si="29"/>
        <v>129.5425585014425</v>
      </c>
      <c r="F175" s="90">
        <f t="shared" si="29"/>
        <v>134.48109703656237</v>
      </c>
      <c r="G175" s="89">
        <f t="shared" si="29"/>
        <v>140.33137566012556</v>
      </c>
      <c r="H175" s="89">
        <f t="shared" si="29"/>
        <v>150.48594723912518</v>
      </c>
      <c r="I175" s="90">
        <f t="shared" si="29"/>
        <v>162.33382024539111</v>
      </c>
      <c r="J175" s="89">
        <f t="shared" si="29"/>
        <v>174.78804317734114</v>
      </c>
      <c r="K175" s="89">
        <f t="shared" si="29"/>
        <v>186.52490418100808</v>
      </c>
      <c r="L175" s="90">
        <f t="shared" si="29"/>
        <v>193.7914446333242</v>
      </c>
      <c r="M175" s="89">
        <f t="shared" si="29"/>
        <v>200.24269623564115</v>
      </c>
      <c r="N175" s="89">
        <f t="shared" si="29"/>
        <v>207.91869252099031</v>
      </c>
      <c r="O175" s="89">
        <f t="shared" si="29"/>
        <v>213.25397824100222</v>
      </c>
      <c r="P175" s="89">
        <f t="shared" si="29"/>
        <v>224.53452647968814</v>
      </c>
      <c r="R175" s="89">
        <f t="shared" si="22"/>
        <v>0.82842316427516272</v>
      </c>
      <c r="S175" s="91">
        <v>163</v>
      </c>
      <c r="T175" s="89">
        <f t="shared" si="23"/>
        <v>134.48109703656237</v>
      </c>
      <c r="U175" s="89">
        <f t="shared" si="24"/>
        <v>162.33382024539111</v>
      </c>
      <c r="V175" s="89">
        <f t="shared" si="25"/>
        <v>193.7914446333242</v>
      </c>
      <c r="X175" s="86">
        <f t="shared" si="26"/>
        <v>26460.412699998749</v>
      </c>
    </row>
    <row r="176" spans="2:24" x14ac:dyDescent="0.25">
      <c r="B176" s="86">
        <v>164</v>
      </c>
      <c r="C176" s="89">
        <f t="shared" si="29"/>
        <v>121.10690699794675</v>
      </c>
      <c r="D176" s="89">
        <f t="shared" si="29"/>
        <v>124.82846302453309</v>
      </c>
      <c r="E176" s="89">
        <f t="shared" si="29"/>
        <v>130.43406693580874</v>
      </c>
      <c r="F176" s="90">
        <f t="shared" si="29"/>
        <v>135.39000857857607</v>
      </c>
      <c r="G176" s="89">
        <f t="shared" si="29"/>
        <v>141.26037728438905</v>
      </c>
      <c r="H176" s="89">
        <f t="shared" si="29"/>
        <v>151.44856246973455</v>
      </c>
      <c r="I176" s="90">
        <f t="shared" si="29"/>
        <v>163.33381726322762</v>
      </c>
      <c r="J176" s="89">
        <f t="shared" si="29"/>
        <v>175.82542340533385</v>
      </c>
      <c r="K176" s="89">
        <f t="shared" si="29"/>
        <v>187.59590390620406</v>
      </c>
      <c r="L176" s="90">
        <f t="shared" si="29"/>
        <v>194.88254238308002</v>
      </c>
      <c r="M176" s="89">
        <f t="shared" si="29"/>
        <v>201.35120836025808</v>
      </c>
      <c r="N176" s="89">
        <f t="shared" si="29"/>
        <v>209.04742803953704</v>
      </c>
      <c r="O176" s="89">
        <f t="shared" si="29"/>
        <v>214.39646725629942</v>
      </c>
      <c r="P176" s="89">
        <f t="shared" si="29"/>
        <v>225.70532355987712</v>
      </c>
      <c r="R176" s="89">
        <f t="shared" si="22"/>
        <v>0.82891596392670175</v>
      </c>
      <c r="S176" s="91">
        <v>164</v>
      </c>
      <c r="T176" s="89">
        <f t="shared" si="23"/>
        <v>135.39000857857607</v>
      </c>
      <c r="U176" s="89">
        <f t="shared" si="24"/>
        <v>163.33381726322762</v>
      </c>
      <c r="V176" s="89">
        <f t="shared" si="25"/>
        <v>194.88254238308002</v>
      </c>
      <c r="X176" s="86">
        <f t="shared" si="26"/>
        <v>26786.746031169328</v>
      </c>
    </row>
    <row r="177" spans="2:24" x14ac:dyDescent="0.25">
      <c r="B177" s="86">
        <v>165</v>
      </c>
      <c r="C177" s="89">
        <f t="shared" si="29"/>
        <v>121.96491182095194</v>
      </c>
      <c r="D177" s="89">
        <f t="shared" si="29"/>
        <v>125.70016034711392</v>
      </c>
      <c r="E177" s="89">
        <f t="shared" si="29"/>
        <v>131.32590623667295</v>
      </c>
      <c r="F177" s="90">
        <f t="shared" si="29"/>
        <v>136.29919816628981</v>
      </c>
      <c r="G177" s="89">
        <f t="shared" si="29"/>
        <v>142.18959581470065</v>
      </c>
      <c r="H177" s="89">
        <f t="shared" si="29"/>
        <v>152.41129203068581</v>
      </c>
      <c r="I177" s="90">
        <f t="shared" si="29"/>
        <v>164.33381431737058</v>
      </c>
      <c r="J177" s="89">
        <f t="shared" si="29"/>
        <v>176.86268935824751</v>
      </c>
      <c r="K177" s="89">
        <f t="shared" si="29"/>
        <v>188.66668670885153</v>
      </c>
      <c r="L177" s="90">
        <f t="shared" si="29"/>
        <v>195.97336197394932</v>
      </c>
      <c r="M177" s="89">
        <f t="shared" si="29"/>
        <v>202.45938936809932</v>
      </c>
      <c r="N177" s="89">
        <f t="shared" si="29"/>
        <v>210.17577108127728</v>
      </c>
      <c r="O177" s="89">
        <f t="shared" si="29"/>
        <v>215.53852216244763</v>
      </c>
      <c r="P177" s="89">
        <f t="shared" si="29"/>
        <v>226.87560112179969</v>
      </c>
      <c r="R177" s="89">
        <f t="shared" si="22"/>
        <v>0.82940445782546757</v>
      </c>
      <c r="S177" s="91">
        <v>165</v>
      </c>
      <c r="T177" s="89">
        <f t="shared" si="23"/>
        <v>136.29919816628981</v>
      </c>
      <c r="U177" s="89">
        <f t="shared" si="24"/>
        <v>164.33381431737058</v>
      </c>
      <c r="V177" s="89">
        <f t="shared" si="25"/>
        <v>195.97336197394932</v>
      </c>
      <c r="X177" s="86">
        <f t="shared" si="26"/>
        <v>27115.079362366145</v>
      </c>
    </row>
    <row r="178" spans="2:24" x14ac:dyDescent="0.25">
      <c r="B178" s="86">
        <v>166</v>
      </c>
      <c r="C178" s="89">
        <f t="shared" si="29"/>
        <v>122.8233460866908</v>
      </c>
      <c r="D178" s="89">
        <f t="shared" si="29"/>
        <v>126.57224609001938</v>
      </c>
      <c r="E178" s="89">
        <f t="shared" si="29"/>
        <v>132.21807339560618</v>
      </c>
      <c r="F178" s="90">
        <f t="shared" si="29"/>
        <v>137.20866326913062</v>
      </c>
      <c r="G178" s="89">
        <f t="shared" si="29"/>
        <v>143.11902927517144</v>
      </c>
      <c r="H178" s="89">
        <f t="shared" si="29"/>
        <v>153.37413487936217</v>
      </c>
      <c r="I178" s="90">
        <f t="shared" si="29"/>
        <v>165.33381140716105</v>
      </c>
      <c r="J178" s="89">
        <f t="shared" si="29"/>
        <v>177.89984207769632</v>
      </c>
      <c r="K178" s="89">
        <f t="shared" si="29"/>
        <v>189.7372545651402</v>
      </c>
      <c r="L178" s="90">
        <f t="shared" si="29"/>
        <v>197.06390593856068</v>
      </c>
      <c r="M178" s="89">
        <f t="shared" si="29"/>
        <v>203.5672422721363</v>
      </c>
      <c r="N178" s="89">
        <f t="shared" si="29"/>
        <v>211.30372521454339</v>
      </c>
      <c r="O178" s="89">
        <f t="shared" si="29"/>
        <v>216.68014690376697</v>
      </c>
      <c r="P178" s="89">
        <f t="shared" si="29"/>
        <v>228.04536387877792</v>
      </c>
      <c r="R178" s="89">
        <f t="shared" si="22"/>
        <v>0.82988870879672805</v>
      </c>
      <c r="S178" s="91">
        <v>166</v>
      </c>
      <c r="T178" s="89">
        <f t="shared" si="23"/>
        <v>137.20866326913062</v>
      </c>
      <c r="U178" s="89">
        <f t="shared" si="24"/>
        <v>165.33381140716105</v>
      </c>
      <c r="V178" s="89">
        <f t="shared" si="25"/>
        <v>197.06390593856068</v>
      </c>
      <c r="X178" s="86">
        <f t="shared" si="26"/>
        <v>27445.412693588736</v>
      </c>
    </row>
    <row r="179" spans="2:24" x14ac:dyDescent="0.25">
      <c r="B179" s="86">
        <v>167</v>
      </c>
      <c r="C179" s="89">
        <f t="shared" si="29"/>
        <v>123.68220592323701</v>
      </c>
      <c r="D179" s="89">
        <f t="shared" si="29"/>
        <v>127.44471674746947</v>
      </c>
      <c r="E179" s="89">
        <f t="shared" si="29"/>
        <v>133.11056544949105</v>
      </c>
      <c r="F179" s="90">
        <f t="shared" si="29"/>
        <v>138.1184013946777</v>
      </c>
      <c r="G179" s="89">
        <f t="shared" si="29"/>
        <v>144.0486757197296</v>
      </c>
      <c r="H179" s="89">
        <f t="shared" si="29"/>
        <v>154.33708998889833</v>
      </c>
      <c r="I179" s="90">
        <f t="shared" si="29"/>
        <v>166.33380853195581</v>
      </c>
      <c r="J179" s="89">
        <f t="shared" si="29"/>
        <v>178.93688258956712</v>
      </c>
      <c r="K179" s="89">
        <f t="shared" si="29"/>
        <v>190.80760942143542</v>
      </c>
      <c r="L179" s="90">
        <f t="shared" si="29"/>
        <v>198.15417677134101</v>
      </c>
      <c r="M179" s="89">
        <f t="shared" si="29"/>
        <v>204.67477003991965</v>
      </c>
      <c r="N179" s="89">
        <f t="shared" si="29"/>
        <v>212.43129395391728</v>
      </c>
      <c r="O179" s="89">
        <f t="shared" si="29"/>
        <v>217.82134536519959</v>
      </c>
      <c r="P179" s="89">
        <f t="shared" si="29"/>
        <v>229.2146164732786</v>
      </c>
      <c r="R179" s="89">
        <f t="shared" si="22"/>
        <v>0.83036877838423684</v>
      </c>
      <c r="S179" s="91">
        <v>167</v>
      </c>
      <c r="T179" s="89">
        <f t="shared" si="23"/>
        <v>138.1184013946777</v>
      </c>
      <c r="U179" s="89">
        <f t="shared" si="24"/>
        <v>166.33380853195581</v>
      </c>
      <c r="V179" s="89">
        <f t="shared" si="25"/>
        <v>198.15417677134101</v>
      </c>
      <c r="X179" s="86">
        <f t="shared" si="26"/>
        <v>27777.746024836619</v>
      </c>
    </row>
    <row r="180" spans="2:24" x14ac:dyDescent="0.25">
      <c r="B180" s="86">
        <v>168</v>
      </c>
      <c r="C180" s="89">
        <f t="shared" si="29"/>
        <v>124.541487516487</v>
      </c>
      <c r="D180" s="89">
        <f t="shared" si="29"/>
        <v>128.31756886609725</v>
      </c>
      <c r="E180" s="89">
        <f t="shared" si="29"/>
        <v>134.00337947957203</v>
      </c>
      <c r="F180" s="90">
        <f t="shared" si="29"/>
        <v>139.02841008786217</v>
      </c>
      <c r="G180" s="89">
        <f t="shared" si="29"/>
        <v>144.97853323149428</v>
      </c>
      <c r="H180" s="89">
        <f t="shared" si="29"/>
        <v>155.30015634784928</v>
      </c>
      <c r="I180" s="90">
        <f t="shared" si="29"/>
        <v>167.33380569112717</v>
      </c>
      <c r="J180" s="89">
        <f t="shared" si="29"/>
        <v>179.97381190434976</v>
      </c>
      <c r="K180" s="89">
        <f t="shared" si="29"/>
        <v>191.87775319490453</v>
      </c>
      <c r="L180" s="90">
        <f t="shared" si="29"/>
        <v>199.2441769293174</v>
      </c>
      <c r="M180" s="89">
        <f t="shared" si="29"/>
        <v>205.78197559453216</v>
      </c>
      <c r="N180" s="89">
        <f t="shared" si="29"/>
        <v>213.55848076135737</v>
      </c>
      <c r="O180" s="89">
        <f t="shared" si="29"/>
        <v>218.96212137355357</v>
      </c>
      <c r="P180" s="89">
        <f t="shared" si="29"/>
        <v>230.38336347839575</v>
      </c>
      <c r="R180" s="89">
        <f t="shared" si="22"/>
        <v>0.83084472688374478</v>
      </c>
      <c r="S180" s="91">
        <v>168</v>
      </c>
      <c r="T180" s="89">
        <f t="shared" si="23"/>
        <v>139.02841008786217</v>
      </c>
      <c r="U180" s="89">
        <f t="shared" si="24"/>
        <v>167.33380569112717</v>
      </c>
      <c r="V180" s="89">
        <f t="shared" si="25"/>
        <v>199.2441769293174</v>
      </c>
      <c r="X180" s="86">
        <f t="shared" si="26"/>
        <v>28112.079356109363</v>
      </c>
    </row>
    <row r="181" spans="2:24" x14ac:dyDescent="0.25">
      <c r="B181" s="86">
        <v>169</v>
      </c>
      <c r="C181" s="89">
        <f t="shared" si="29"/>
        <v>125.40118710895905</v>
      </c>
      <c r="D181" s="89">
        <f t="shared" si="29"/>
        <v>129.19079904385882</v>
      </c>
      <c r="E181" s="89">
        <f t="shared" si="29"/>
        <v>134.8965126105312</v>
      </c>
      <c r="F181" s="90">
        <f t="shared" si="29"/>
        <v>139.93868693018777</v>
      </c>
      <c r="G181" s="89">
        <f t="shared" si="29"/>
        <v>145.90859992216619</v>
      </c>
      <c r="H181" s="89">
        <f t="shared" si="29"/>
        <v>156.26333295986817</v>
      </c>
      <c r="I181" s="90">
        <f t="shared" si="29"/>
        <v>168.33380288406221</v>
      </c>
      <c r="J181" s="89">
        <f t="shared" si="29"/>
        <v>181.01063101745871</v>
      </c>
      <c r="K181" s="89">
        <f t="shared" si="29"/>
        <v>192.94768777412645</v>
      </c>
      <c r="L181" s="90">
        <f t="shared" si="29"/>
        <v>200.33390883289761</v>
      </c>
      <c r="M181" s="89">
        <f t="shared" si="29"/>
        <v>206.88886181551598</v>
      </c>
      <c r="N181" s="89">
        <f t="shared" si="29"/>
        <v>214.68528904729502</v>
      </c>
      <c r="O181" s="89">
        <f t="shared" si="29"/>
        <v>220.1024786987139</v>
      </c>
      <c r="P181" s="89">
        <f t="shared" si="29"/>
        <v>231.55160939929388</v>
      </c>
      <c r="R181" s="89">
        <f t="shared" si="22"/>
        <v>0.83131661337544183</v>
      </c>
      <c r="S181" s="91">
        <v>169</v>
      </c>
      <c r="T181" s="89">
        <f t="shared" si="23"/>
        <v>139.93868693018777</v>
      </c>
      <c r="U181" s="89">
        <f t="shared" si="24"/>
        <v>168.33380288406221</v>
      </c>
      <c r="V181" s="89">
        <f t="shared" si="25"/>
        <v>200.33390883289761</v>
      </c>
      <c r="X181" s="86">
        <f t="shared" si="26"/>
        <v>28448.412687406515</v>
      </c>
    </row>
    <row r="182" spans="2:24" x14ac:dyDescent="0.25">
      <c r="B182" s="86">
        <v>170</v>
      </c>
      <c r="C182" s="89">
        <f t="shared" si="29"/>
        <v>126.2613009986231</v>
      </c>
      <c r="D182" s="89">
        <f t="shared" si="29"/>
        <v>130.06440392897159</v>
      </c>
      <c r="E182" s="89">
        <f t="shared" si="29"/>
        <v>135.78996200958898</v>
      </c>
      <c r="F182" s="90">
        <f t="shared" si="29"/>
        <v>140.84922953897305</v>
      </c>
      <c r="G182" s="89">
        <f t="shared" si="29"/>
        <v>146.83887393143465</v>
      </c>
      <c r="H182" s="89">
        <f t="shared" si="29"/>
        <v>157.22661884339252</v>
      </c>
      <c r="I182" s="90">
        <f t="shared" si="29"/>
        <v>169.33380011016263</v>
      </c>
      <c r="J182" s="89">
        <f t="shared" si="29"/>
        <v>182.04734090954602</v>
      </c>
      <c r="K182" s="89">
        <f t="shared" si="29"/>
        <v>194.01741501968493</v>
      </c>
      <c r="L182" s="90">
        <f t="shared" si="29"/>
        <v>201.42337486662953</v>
      </c>
      <c r="M182" s="89">
        <f t="shared" si="29"/>
        <v>207.99543153977541</v>
      </c>
      <c r="N182" s="89">
        <f t="shared" si="29"/>
        <v>215.81172217170197</v>
      </c>
      <c r="O182" s="89">
        <f t="shared" si="29"/>
        <v>221.24242105482068</v>
      </c>
      <c r="P182" s="89">
        <f t="shared" si="29"/>
        <v>232.71935867461193</v>
      </c>
      <c r="R182" s="89">
        <f t="shared" si="22"/>
        <v>0.83178449575537483</v>
      </c>
      <c r="S182" s="91">
        <v>170</v>
      </c>
      <c r="T182" s="89">
        <f t="shared" si="23"/>
        <v>140.84922953897305</v>
      </c>
      <c r="U182" s="89">
        <f t="shared" si="24"/>
        <v>169.33380011016263</v>
      </c>
      <c r="V182" s="89">
        <f t="shared" si="25"/>
        <v>201.42337486662953</v>
      </c>
      <c r="X182" s="86">
        <f t="shared" si="26"/>
        <v>28786.746018727648</v>
      </c>
    </row>
    <row r="183" spans="2:24" x14ac:dyDescent="0.25">
      <c r="B183" s="86">
        <v>171</v>
      </c>
      <c r="C183" s="89">
        <f t="shared" si="29"/>
        <v>127.12182553776242</v>
      </c>
      <c r="D183" s="89">
        <f t="shared" si="29"/>
        <v>130.93838021888141</v>
      </c>
      <c r="E183" s="89">
        <f t="shared" si="29"/>
        <v>136.68372488562784</v>
      </c>
      <c r="F183" s="90">
        <f t="shared" si="29"/>
        <v>141.76003556661297</v>
      </c>
      <c r="G183" s="89">
        <f t="shared" si="29"/>
        <v>147.76935342640002</v>
      </c>
      <c r="H183" s="89">
        <f t="shared" si="29"/>
        <v>158.19001303133902</v>
      </c>
      <c r="I183" s="90">
        <f t="shared" si="29"/>
        <v>170.33379736884405</v>
      </c>
      <c r="J183" s="89">
        <f t="shared" si="29"/>
        <v>183.08394254680607</v>
      </c>
      <c r="K183" s="89">
        <f t="shared" si="29"/>
        <v>195.0869367647461</v>
      </c>
      <c r="L183" s="90">
        <f t="shared" si="29"/>
        <v>202.51257737994067</v>
      </c>
      <c r="M183" s="89">
        <f t="shared" si="29"/>
        <v>209.1016875624556</v>
      </c>
      <c r="N183" s="89">
        <f t="shared" si="29"/>
        <v>216.93778344512967</v>
      </c>
      <c r="O183" s="89">
        <f t="shared" si="29"/>
        <v>222.38195210141677</v>
      </c>
      <c r="P183" s="89">
        <f t="shared" si="29"/>
        <v>233.88661567783114</v>
      </c>
      <c r="R183" s="89">
        <f t="shared" si="22"/>
        <v>0.83224843076587496</v>
      </c>
      <c r="S183" s="91">
        <v>171</v>
      </c>
      <c r="T183" s="89">
        <f t="shared" si="23"/>
        <v>141.76003556661297</v>
      </c>
      <c r="U183" s="89">
        <f t="shared" si="24"/>
        <v>170.33379736884405</v>
      </c>
      <c r="V183" s="89">
        <f t="shared" si="25"/>
        <v>202.51257737994067</v>
      </c>
      <c r="X183" s="86">
        <f t="shared" si="26"/>
        <v>29127.07935007233</v>
      </c>
    </row>
    <row r="184" spans="2:24" x14ac:dyDescent="0.25">
      <c r="B184" s="86">
        <v>172</v>
      </c>
      <c r="C184" s="89">
        <f t="shared" si="29"/>
        <v>127.98275713186446</v>
      </c>
      <c r="D184" s="89">
        <f t="shared" si="29"/>
        <v>131.81272465925591</v>
      </c>
      <c r="E184" s="89">
        <f t="shared" si="29"/>
        <v>137.57779848833999</v>
      </c>
      <c r="F184" s="90">
        <f t="shared" si="29"/>
        <v>142.67110269986037</v>
      </c>
      <c r="G184" s="89">
        <f t="shared" si="29"/>
        <v>148.70003660101182</v>
      </c>
      <c r="H184" s="89">
        <f t="shared" si="29"/>
        <v>159.1535145708061</v>
      </c>
      <c r="I184" s="90">
        <f t="shared" si="29"/>
        <v>171.33379465953584</v>
      </c>
      <c r="J184" s="89">
        <f t="shared" si="29"/>
        <v>184.1204368812721</v>
      </c>
      <c r="K184" s="89">
        <f t="shared" si="29"/>
        <v>196.15625481562077</v>
      </c>
      <c r="L184" s="90">
        <f t="shared" si="29"/>
        <v>203.60151868785809</v>
      </c>
      <c r="M184" s="89">
        <f t="shared" si="29"/>
        <v>210.20763263779793</v>
      </c>
      <c r="N184" s="89">
        <f t="shared" si="29"/>
        <v>218.06347612972078</v>
      </c>
      <c r="O184" s="89">
        <f t="shared" si="29"/>
        <v>223.52107544456487</v>
      </c>
      <c r="P184" s="89">
        <f t="shared" si="29"/>
        <v>235.05338471860651</v>
      </c>
      <c r="R184" s="89">
        <f t="shared" si="22"/>
        <v>0.83270847402503256</v>
      </c>
      <c r="S184" s="91">
        <v>172</v>
      </c>
      <c r="T184" s="89">
        <f t="shared" si="23"/>
        <v>142.67110269986037</v>
      </c>
      <c r="U184" s="89">
        <f t="shared" si="24"/>
        <v>171.33379465953584</v>
      </c>
      <c r="V184" s="89">
        <f t="shared" si="25"/>
        <v>203.60151868785809</v>
      </c>
      <c r="X184" s="86">
        <f t="shared" si="26"/>
        <v>29469.412681440164</v>
      </c>
    </row>
    <row r="185" spans="2:24" x14ac:dyDescent="0.25">
      <c r="B185" s="86">
        <v>173</v>
      </c>
      <c r="C185" s="89">
        <f t="shared" si="29"/>
        <v>128.84409223854104</v>
      </c>
      <c r="D185" s="89">
        <f t="shared" si="29"/>
        <v>132.68743404300494</v>
      </c>
      <c r="E185" s="89">
        <f t="shared" si="29"/>
        <v>138.47218010739664</v>
      </c>
      <c r="F185" s="90">
        <f t="shared" si="29"/>
        <v>143.58242865912618</v>
      </c>
      <c r="G185" s="89">
        <f t="shared" si="29"/>
        <v>149.63092167552114</v>
      </c>
      <c r="H185" s="89">
        <f t="shared" si="29"/>
        <v>160.11712252278457</v>
      </c>
      <c r="I185" s="90">
        <f t="shared" si="29"/>
        <v>172.3337919816806</v>
      </c>
      <c r="J185" s="89">
        <f t="shared" si="29"/>
        <v>185.1568248511052</v>
      </c>
      <c r="K185" s="89">
        <f t="shared" si="29"/>
        <v>197.22537095231212</v>
      </c>
      <c r="L185" s="90">
        <f t="shared" si="29"/>
        <v>204.69020107170951</v>
      </c>
      <c r="M185" s="89">
        <f t="shared" si="29"/>
        <v>211.31326947997351</v>
      </c>
      <c r="N185" s="89">
        <f t="shared" si="29"/>
        <v>219.18880344019473</v>
      </c>
      <c r="O185" s="89">
        <f t="shared" si="29"/>
        <v>224.65979463793522</v>
      </c>
      <c r="P185" s="89">
        <f t="shared" si="29"/>
        <v>236.21967004406326</v>
      </c>
      <c r="R185" s="89">
        <f t="shared" si="22"/>
        <v>0.83316468005525723</v>
      </c>
      <c r="S185" s="91">
        <v>173</v>
      </c>
      <c r="T185" s="89">
        <f t="shared" si="23"/>
        <v>143.58242865912618</v>
      </c>
      <c r="U185" s="89">
        <f t="shared" si="24"/>
        <v>172.3337919816806</v>
      </c>
      <c r="V185" s="89">
        <f t="shared" si="25"/>
        <v>204.69020107170951</v>
      </c>
      <c r="X185" s="86">
        <f t="shared" si="26"/>
        <v>29813.746012830743</v>
      </c>
    </row>
    <row r="186" spans="2:24" x14ac:dyDescent="0.25">
      <c r="B186" s="86">
        <v>174</v>
      </c>
      <c r="C186" s="89">
        <f t="shared" si="29"/>
        <v>129.70582736647663</v>
      </c>
      <c r="D186" s="89">
        <f t="shared" si="29"/>
        <v>133.56250520932596</v>
      </c>
      <c r="E186" s="89">
        <f t="shared" si="29"/>
        <v>139.3668670716394</v>
      </c>
      <c r="F186" s="90">
        <f t="shared" si="29"/>
        <v>144.49401119779759</v>
      </c>
      <c r="G186" s="89">
        <f t="shared" si="29"/>
        <v>150.56200689594763</v>
      </c>
      <c r="H186" s="89">
        <f t="shared" si="29"/>
        <v>161.08083596187566</v>
      </c>
      <c r="I186" s="90">
        <f t="shared" si="29"/>
        <v>173.33378933473378</v>
      </c>
      <c r="J186" s="89">
        <f t="shared" si="29"/>
        <v>186.19310738087557</v>
      </c>
      <c r="K186" s="89">
        <f t="shared" si="29"/>
        <v>198.29428692904884</v>
      </c>
      <c r="L186" s="90">
        <f t="shared" si="29"/>
        <v>205.77862677980613</v>
      </c>
      <c r="M186" s="89">
        <f t="shared" si="29"/>
        <v>212.41860076389437</v>
      </c>
      <c r="N186" s="89">
        <f t="shared" si="29"/>
        <v>220.3137685448072</v>
      </c>
      <c r="O186" s="89">
        <f t="shared" si="29"/>
        <v>225.7981131838655</v>
      </c>
      <c r="P186" s="89">
        <f t="shared" si="29"/>
        <v>237.38547584006022</v>
      </c>
      <c r="R186" s="89">
        <f t="shared" si="22"/>
        <v>0.83361710231095099</v>
      </c>
      <c r="S186" s="91">
        <v>174</v>
      </c>
      <c r="T186" s="89">
        <f t="shared" si="23"/>
        <v>144.49401119779759</v>
      </c>
      <c r="U186" s="89">
        <f t="shared" si="24"/>
        <v>173.33378933473378</v>
      </c>
      <c r="V186" s="89">
        <f t="shared" si="25"/>
        <v>205.77862677980613</v>
      </c>
      <c r="X186" s="86">
        <f t="shared" si="26"/>
        <v>30160.079344243677</v>
      </c>
    </row>
    <row r="187" spans="2:24" x14ac:dyDescent="0.25">
      <c r="B187" s="86">
        <v>175</v>
      </c>
      <c r="C187" s="89">
        <f t="shared" si="29"/>
        <v>130.56795907440318</v>
      </c>
      <c r="D187" s="89">
        <f t="shared" si="29"/>
        <v>134.43793504277428</v>
      </c>
      <c r="E187" s="89">
        <f t="shared" si="29"/>
        <v>140.26185674829219</v>
      </c>
      <c r="F187" s="90">
        <f t="shared" si="29"/>
        <v>145.40584810157435</v>
      </c>
      <c r="G187" s="89">
        <f t="shared" si="29"/>
        <v>151.49329053356007</v>
      </c>
      <c r="H187" s="89">
        <f t="shared" si="29"/>
        <v>162.04465397601649</v>
      </c>
      <c r="I187" s="90">
        <f t="shared" si="29"/>
        <v>174.33378671816328</v>
      </c>
      <c r="J187" s="89">
        <f t="shared" si="29"/>
        <v>187.22928538183663</v>
      </c>
      <c r="K187" s="89">
        <f t="shared" si="29"/>
        <v>199.3630044748048</v>
      </c>
      <c r="L187" s="90">
        <f t="shared" si="29"/>
        <v>206.86679802810761</v>
      </c>
      <c r="M187" s="89">
        <f t="shared" si="29"/>
        <v>213.52362912600404</v>
      </c>
      <c r="N187" s="89">
        <f t="shared" si="29"/>
        <v>221.43837456628512</v>
      </c>
      <c r="O187" s="89">
        <f t="shared" si="29"/>
        <v>226.93603453439292</v>
      </c>
      <c r="P187" s="89">
        <f t="shared" si="29"/>
        <v>238.55080623241986</v>
      </c>
      <c r="R187" s="89">
        <f t="shared" si="22"/>
        <v>0.83406579320533381</v>
      </c>
      <c r="S187" s="91">
        <v>175</v>
      </c>
      <c r="T187" s="89">
        <f t="shared" si="23"/>
        <v>145.40584810157435</v>
      </c>
      <c r="U187" s="89">
        <f t="shared" si="24"/>
        <v>174.33378671816328</v>
      </c>
      <c r="V187" s="89">
        <f t="shared" si="25"/>
        <v>206.86679802810761</v>
      </c>
      <c r="X187" s="86">
        <f t="shared" si="26"/>
        <v>30508.412675678574</v>
      </c>
    </row>
    <row r="188" spans="2:24" x14ac:dyDescent="0.25">
      <c r="B188" s="86">
        <v>176</v>
      </c>
      <c r="C188" s="89">
        <f t="shared" si="29"/>
        <v>131.43048397010182</v>
      </c>
      <c r="D188" s="89">
        <f t="shared" si="29"/>
        <v>135.31372047235709</v>
      </c>
      <c r="E188" s="89">
        <f t="shared" si="29"/>
        <v>141.15714654219363</v>
      </c>
      <c r="F188" s="90">
        <f t="shared" si="29"/>
        <v>146.31793718782163</v>
      </c>
      <c r="G188" s="89">
        <f t="shared" si="29"/>
        <v>152.42477088437053</v>
      </c>
      <c r="H188" s="89">
        <f t="shared" si="29"/>
        <v>163.00857566621241</v>
      </c>
      <c r="I188" s="90">
        <f t="shared" si="29"/>
        <v>175.33378413144925</v>
      </c>
      <c r="J188" s="89">
        <f t="shared" si="29"/>
        <v>188.26535975219193</v>
      </c>
      <c r="K188" s="89">
        <f t="shared" si="29"/>
        <v>200.43152529380498</v>
      </c>
      <c r="L188" s="90">
        <f t="shared" si="29"/>
        <v>207.95471700087032</v>
      </c>
      <c r="M188" s="89">
        <f t="shared" si="29"/>
        <v>214.62835716504767</v>
      </c>
      <c r="N188" s="89">
        <f t="shared" si="29"/>
        <v>222.56262458273736</v>
      </c>
      <c r="O188" s="89">
        <f t="shared" si="29"/>
        <v>228.07356209225995</v>
      </c>
      <c r="P188" s="89">
        <f t="shared" si="29"/>
        <v>239.7156652881273</v>
      </c>
      <c r="R188" s="89">
        <f t="shared" si="22"/>
        <v>0.83451080413644529</v>
      </c>
      <c r="S188" s="91">
        <v>176</v>
      </c>
      <c r="T188" s="89">
        <f t="shared" si="23"/>
        <v>146.31793718782163</v>
      </c>
      <c r="U188" s="89">
        <f t="shared" si="24"/>
        <v>175.33378413144925</v>
      </c>
      <c r="V188" s="89">
        <f t="shared" si="25"/>
        <v>207.95471700087032</v>
      </c>
      <c r="X188" s="86">
        <f t="shared" si="26"/>
        <v>30858.746007135069</v>
      </c>
    </row>
    <row r="189" spans="2:24" x14ac:dyDescent="0.25">
      <c r="B189" s="86">
        <v>177</v>
      </c>
      <c r="C189" s="89">
        <f t="shared" si="29"/>
        <v>132.29339870943002</v>
      </c>
      <c r="D189" s="89">
        <f t="shared" si="29"/>
        <v>136.18985847065085</v>
      </c>
      <c r="E189" s="89">
        <f t="shared" si="29"/>
        <v>142.05273389504904</v>
      </c>
      <c r="F189" s="90">
        <f t="shared" si="29"/>
        <v>147.23027630493988</v>
      </c>
      <c r="G189" s="89">
        <f t="shared" si="29"/>
        <v>153.35644626864135</v>
      </c>
      <c r="H189" s="89">
        <f t="shared" si="29"/>
        <v>163.97260014627645</v>
      </c>
      <c r="I189" s="90">
        <f t="shared" si="29"/>
        <v>176.33378157408356</v>
      </c>
      <c r="J189" s="89">
        <f t="shared" si="29"/>
        <v>189.30133137735521</v>
      </c>
      <c r="K189" s="89">
        <f t="shared" si="29"/>
        <v>201.49985106601875</v>
      </c>
      <c r="L189" s="90">
        <f t="shared" si="29"/>
        <v>209.04238585127851</v>
      </c>
      <c r="M189" s="89">
        <f t="shared" si="29"/>
        <v>215.73278744282234</v>
      </c>
      <c r="N189" s="89">
        <f t="shared" si="29"/>
        <v>223.68652162854227</v>
      </c>
      <c r="O189" s="89">
        <f t="shared" si="29"/>
        <v>229.21069921189431</v>
      </c>
      <c r="P189" s="89">
        <f t="shared" si="29"/>
        <v>240.88005701649863</v>
      </c>
      <c r="R189" s="89">
        <f t="shared" si="22"/>
        <v>0.83495218551235828</v>
      </c>
      <c r="S189" s="91">
        <v>177</v>
      </c>
      <c r="T189" s="89">
        <f t="shared" si="23"/>
        <v>147.23027630493988</v>
      </c>
      <c r="U189" s="89">
        <f t="shared" si="24"/>
        <v>176.33378157408356</v>
      </c>
      <c r="V189" s="89">
        <f t="shared" si="25"/>
        <v>209.04238585127851</v>
      </c>
      <c r="X189" s="86">
        <f t="shared" si="26"/>
        <v>31211.079338612792</v>
      </c>
    </row>
    <row r="190" spans="2:24" x14ac:dyDescent="0.25">
      <c r="B190" s="86">
        <v>178</v>
      </c>
      <c r="C190" s="89">
        <f t="shared" si="29"/>
        <v>133.15669999537297</v>
      </c>
      <c r="D190" s="89">
        <f t="shared" si="29"/>
        <v>137.06634605294067</v>
      </c>
      <c r="E190" s="89">
        <f t="shared" si="29"/>
        <v>142.9486162847015</v>
      </c>
      <c r="F190" s="90">
        <f t="shared" si="29"/>
        <v>148.14286333175039</v>
      </c>
      <c r="G190" s="89">
        <f t="shared" si="29"/>
        <v>154.2883150304047</v>
      </c>
      <c r="H190" s="89">
        <f t="shared" si="29"/>
        <v>164.93672654257534</v>
      </c>
      <c r="I190" s="90">
        <f t="shared" si="29"/>
        <v>177.33377904556954</v>
      </c>
      <c r="J190" s="89">
        <f t="shared" si="29"/>
        <v>190.33720113020419</v>
      </c>
      <c r="K190" s="89">
        <f t="shared" si="29"/>
        <v>202.5679834476403</v>
      </c>
      <c r="L190" s="90">
        <f t="shared" si="29"/>
        <v>210.12980670205982</v>
      </c>
      <c r="M190" s="89">
        <f t="shared" si="29"/>
        <v>216.83692248490857</v>
      </c>
      <c r="N190" s="89">
        <f t="shared" si="29"/>
        <v>224.81006869521269</v>
      </c>
      <c r="O190" s="89">
        <f t="shared" si="29"/>
        <v>230.34744920036414</v>
      </c>
      <c r="P190" s="89">
        <f t="shared" si="29"/>
        <v>242.04398537031909</v>
      </c>
      <c r="R190" s="89">
        <f t="shared" si="22"/>
        <v>0.83538998677562748</v>
      </c>
      <c r="S190" s="91">
        <v>178</v>
      </c>
      <c r="T190" s="89">
        <f t="shared" si="23"/>
        <v>148.14286333175039</v>
      </c>
      <c r="U190" s="89">
        <f t="shared" si="24"/>
        <v>177.33377904556954</v>
      </c>
      <c r="V190" s="89">
        <f t="shared" si="25"/>
        <v>210.12980670205982</v>
      </c>
      <c r="X190" s="86">
        <f t="shared" si="26"/>
        <v>31565.412670111378</v>
      </c>
    </row>
    <row r="191" spans="2:24" x14ac:dyDescent="0.25">
      <c r="B191" s="86">
        <v>179</v>
      </c>
      <c r="C191" s="89">
        <f t="shared" si="29"/>
        <v>134.0203845771193</v>
      </c>
      <c r="D191" s="89">
        <f t="shared" si="29"/>
        <v>137.94318027638175</v>
      </c>
      <c r="E191" s="89">
        <f t="shared" si="29"/>
        <v>143.84479122442102</v>
      </c>
      <c r="F191" s="90">
        <f t="shared" ref="D191:P194" si="30">CHIINV(F$12,$B191)</f>
        <v>149.05569617689676</v>
      </c>
      <c r="G191" s="89">
        <f t="shared" si="30"/>
        <v>155.22037553699431</v>
      </c>
      <c r="H191" s="89">
        <f t="shared" si="30"/>
        <v>165.9009539937818</v>
      </c>
      <c r="I191" s="90">
        <f t="shared" si="30"/>
        <v>178.33377654542173</v>
      </c>
      <c r="J191" s="89">
        <f t="shared" si="30"/>
        <v>191.37296987132734</v>
      </c>
      <c r="K191" s="89">
        <f t="shared" si="30"/>
        <v>203.63592407155724</v>
      </c>
      <c r="L191" s="90">
        <f t="shared" si="30"/>
        <v>211.21698164608489</v>
      </c>
      <c r="M191" s="89">
        <f t="shared" si="30"/>
        <v>217.94076478138288</v>
      </c>
      <c r="N191" s="89">
        <f t="shared" si="30"/>
        <v>225.93326873223884</v>
      </c>
      <c r="O191" s="89">
        <f t="shared" si="30"/>
        <v>231.48381531830876</v>
      </c>
      <c r="P191" s="89">
        <f t="shared" si="30"/>
        <v>243.20745424695346</v>
      </c>
      <c r="R191" s="89">
        <f t="shared" si="22"/>
        <v>0.83582425642700486</v>
      </c>
      <c r="S191" s="91">
        <v>179</v>
      </c>
      <c r="T191" s="89">
        <f t="shared" si="23"/>
        <v>149.05569617689676</v>
      </c>
      <c r="U191" s="89">
        <f t="shared" si="24"/>
        <v>178.33377654542173</v>
      </c>
      <c r="V191" s="89">
        <f t="shared" si="25"/>
        <v>211.21698164608489</v>
      </c>
      <c r="X191" s="86">
        <f t="shared" si="26"/>
        <v>31921.74600163049</v>
      </c>
    </row>
    <row r="192" spans="2:24" x14ac:dyDescent="0.25">
      <c r="B192" s="86">
        <v>180</v>
      </c>
      <c r="C192" s="89">
        <f t="shared" ref="C192:P212" si="31">CHIINV(C$12,$B192)</f>
        <v>134.88444924915959</v>
      </c>
      <c r="D192" s="89">
        <f t="shared" si="30"/>
        <v>138.82035823918187</v>
      </c>
      <c r="E192" s="89">
        <f t="shared" si="30"/>
        <v>144.74125626221195</v>
      </c>
      <c r="F192" s="90">
        <f t="shared" si="30"/>
        <v>149.96877277826087</v>
      </c>
      <c r="G192" s="89">
        <f t="shared" si="30"/>
        <v>156.15262617858914</v>
      </c>
      <c r="H192" s="89">
        <f t="shared" si="30"/>
        <v>166.86528165063328</v>
      </c>
      <c r="I192" s="90">
        <f t="shared" si="30"/>
        <v>179.33377407316542</v>
      </c>
      <c r="J192" s="89">
        <f t="shared" si="30"/>
        <v>192.40863844926491</v>
      </c>
      <c r="K192" s="89">
        <f t="shared" si="30"/>
        <v>204.703674547807</v>
      </c>
      <c r="L192" s="90">
        <f t="shared" si="30"/>
        <v>212.30391274695214</v>
      </c>
      <c r="M192" s="89">
        <f t="shared" si="30"/>
        <v>219.04431678751286</v>
      </c>
      <c r="N192" s="89">
        <f t="shared" si="30"/>
        <v>227.05612464791034</v>
      </c>
      <c r="O192" s="89">
        <f t="shared" si="30"/>
        <v>232.61980078084628</v>
      </c>
      <c r="P192" s="89">
        <f t="shared" si="30"/>
        <v>244.37046748942737</v>
      </c>
      <c r="R192" s="89">
        <f t="shared" si="22"/>
        <v>0.8362550420484427</v>
      </c>
      <c r="S192" s="91">
        <v>180</v>
      </c>
      <c r="T192" s="89">
        <f t="shared" si="23"/>
        <v>149.96877277826087</v>
      </c>
      <c r="U192" s="89">
        <f t="shared" si="24"/>
        <v>179.33377407316542</v>
      </c>
      <c r="V192" s="89">
        <f t="shared" si="25"/>
        <v>212.30391274695214</v>
      </c>
      <c r="X192" s="86">
        <f t="shared" si="26"/>
        <v>32280.079333169775</v>
      </c>
    </row>
    <row r="193" spans="2:24" x14ac:dyDescent="0.25">
      <c r="B193" s="86">
        <v>181</v>
      </c>
      <c r="C193" s="89">
        <f t="shared" si="31"/>
        <v>135.74889085040789</v>
      </c>
      <c r="D193" s="89">
        <f t="shared" si="30"/>
        <v>139.69787707980385</v>
      </c>
      <c r="E193" s="89">
        <f t="shared" si="30"/>
        <v>145.63800898013778</v>
      </c>
      <c r="F193" s="90">
        <f t="shared" si="30"/>
        <v>150.88209110239418</v>
      </c>
      <c r="G193" s="89">
        <f t="shared" si="30"/>
        <v>157.08506536776818</v>
      </c>
      <c r="H193" s="89">
        <f t="shared" si="30"/>
        <v>167.82970867569679</v>
      </c>
      <c r="I193" s="90">
        <f t="shared" si="30"/>
        <v>180.33377162833648</v>
      </c>
      <c r="J193" s="89">
        <f t="shared" si="30"/>
        <v>193.4442077007437</v>
      </c>
      <c r="K193" s="89">
        <f t="shared" si="30"/>
        <v>205.77123646402211</v>
      </c>
      <c r="L193" s="90">
        <f t="shared" si="30"/>
        <v>213.39060203955762</v>
      </c>
      <c r="M193" s="89">
        <f t="shared" si="30"/>
        <v>220.14758092443449</v>
      </c>
      <c r="N193" s="89">
        <f t="shared" si="30"/>
        <v>228.17863931011746</v>
      </c>
      <c r="O193" s="89">
        <f t="shared" si="30"/>
        <v>233.75540875845857</v>
      </c>
      <c r="P193" s="89">
        <f t="shared" si="30"/>
        <v>245.53302888748277</v>
      </c>
      <c r="R193" s="89">
        <f t="shared" si="22"/>
        <v>0.83668239032541558</v>
      </c>
      <c r="S193" s="91">
        <v>181</v>
      </c>
      <c r="T193" s="89">
        <f t="shared" si="23"/>
        <v>150.88209110239418</v>
      </c>
      <c r="U193" s="89">
        <f t="shared" si="24"/>
        <v>180.33377162833648</v>
      </c>
      <c r="V193" s="89">
        <f t="shared" si="25"/>
        <v>213.39060203955762</v>
      </c>
      <c r="X193" s="86">
        <f t="shared" si="26"/>
        <v>32640.412664728901</v>
      </c>
    </row>
    <row r="194" spans="2:24" x14ac:dyDescent="0.25">
      <c r="B194" s="86">
        <v>182</v>
      </c>
      <c r="C194" s="89">
        <f t="shared" si="31"/>
        <v>136.6137062633444</v>
      </c>
      <c r="D194" s="89">
        <f t="shared" si="30"/>
        <v>140.57573397618867</v>
      </c>
      <c r="E194" s="89">
        <f t="shared" si="30"/>
        <v>146.53504699366212</v>
      </c>
      <c r="F194" s="90">
        <f t="shared" si="30"/>
        <v>151.79564914396255</v>
      </c>
      <c r="G194" s="89">
        <f t="shared" si="30"/>
        <v>158.01769153907659</v>
      </c>
      <c r="H194" s="89">
        <f t="shared" si="30"/>
        <v>168.79423424313927</v>
      </c>
      <c r="I194" s="90">
        <f t="shared" si="30"/>
        <v>181.33376921048102</v>
      </c>
      <c r="J194" s="89">
        <f t="shared" si="30"/>
        <v>194.47967845090605</v>
      </c>
      <c r="K194" s="89">
        <f t="shared" si="30"/>
        <v>206.83861138586428</v>
      </c>
      <c r="L194" s="90">
        <f t="shared" si="30"/>
        <v>214.47705153065104</v>
      </c>
      <c r="M194" s="89">
        <f t="shared" si="30"/>
        <v>221.25055957981289</v>
      </c>
      <c r="N194" s="89">
        <f t="shared" si="30"/>
        <v>229.30081554713246</v>
      </c>
      <c r="O194" s="89">
        <f t="shared" si="30"/>
        <v>234.89064237785402</v>
      </c>
      <c r="P194" s="89">
        <f t="shared" si="30"/>
        <v>246.69514217860623</v>
      </c>
      <c r="R194" s="89">
        <f t="shared" si="22"/>
        <v>0.83710634706857912</v>
      </c>
      <c r="S194" s="91">
        <v>182</v>
      </c>
      <c r="T194" s="89">
        <f t="shared" si="23"/>
        <v>151.79564914396255</v>
      </c>
      <c r="U194" s="89">
        <f t="shared" si="24"/>
        <v>181.33376921048102</v>
      </c>
      <c r="V194" s="89">
        <f t="shared" si="25"/>
        <v>214.47705153065104</v>
      </c>
      <c r="X194" s="86">
        <f t="shared" si="26"/>
        <v>33002.745996307545</v>
      </c>
    </row>
    <row r="195" spans="2:24" x14ac:dyDescent="0.25">
      <c r="B195" s="86">
        <v>183</v>
      </c>
      <c r="C195" s="89">
        <f t="shared" si="31"/>
        <v>137.47889241317998</v>
      </c>
      <c r="D195" s="89">
        <f t="shared" si="31"/>
        <v>141.45392614499667</v>
      </c>
      <c r="E195" s="89">
        <f t="shared" si="31"/>
        <v>147.43236795100674</v>
      </c>
      <c r="F195" s="90">
        <f t="shared" si="31"/>
        <v>152.70944492520525</v>
      </c>
      <c r="G195" s="89">
        <f t="shared" si="31"/>
        <v>158.95050314860251</v>
      </c>
      <c r="H195" s="89">
        <f t="shared" si="31"/>
        <v>169.75885753850406</v>
      </c>
      <c r="I195" s="90">
        <f t="shared" si="31"/>
        <v>182.3337668191551</v>
      </c>
      <c r="J195" s="89">
        <f t="shared" si="31"/>
        <v>195.51505151353314</v>
      </c>
      <c r="K195" s="89">
        <f t="shared" si="31"/>
        <v>207.90580085744767</v>
      </c>
      <c r="L195" s="90">
        <f t="shared" si="31"/>
        <v>215.56326319937764</v>
      </c>
      <c r="M195" s="89">
        <f t="shared" si="31"/>
        <v>222.35325510848645</v>
      </c>
      <c r="N195" s="89">
        <f t="shared" si="31"/>
        <v>230.42265614837174</v>
      </c>
      <c r="O195" s="89">
        <f t="shared" si="31"/>
        <v>236.0255047228091</v>
      </c>
      <c r="P195" s="89">
        <f t="shared" si="31"/>
        <v>247.85681104903264</v>
      </c>
      <c r="R195" s="89">
        <f t="shared" si="22"/>
        <v>0.83752695723479309</v>
      </c>
      <c r="S195" s="91">
        <v>183</v>
      </c>
      <c r="T195" s="89">
        <f t="shared" si="23"/>
        <v>152.70944492520525</v>
      </c>
      <c r="U195" s="89">
        <f t="shared" si="24"/>
        <v>182.3337668191551</v>
      </c>
      <c r="V195" s="89">
        <f t="shared" si="25"/>
        <v>215.56326319937764</v>
      </c>
      <c r="X195" s="86">
        <f t="shared" si="26"/>
        <v>33367.079327905383</v>
      </c>
    </row>
    <row r="196" spans="2:24" x14ac:dyDescent="0.25">
      <c r="B196" s="86">
        <v>184</v>
      </c>
      <c r="C196" s="89">
        <f t="shared" si="31"/>
        <v>138.3444462670405</v>
      </c>
      <c r="D196" s="89">
        <f t="shared" si="31"/>
        <v>142.33245084086852</v>
      </c>
      <c r="E196" s="89">
        <f t="shared" si="31"/>
        <v>148.32996953252481</v>
      </c>
      <c r="F196" s="90">
        <f t="shared" si="31"/>
        <v>153.62347649540686</v>
      </c>
      <c r="G196" s="89">
        <f t="shared" si="31"/>
        <v>159.88349867356422</v>
      </c>
      <c r="H196" s="89">
        <f t="shared" si="31"/>
        <v>170.72357775849255</v>
      </c>
      <c r="I196" s="90">
        <f t="shared" si="31"/>
        <v>183.33376445392449</v>
      </c>
      <c r="J196" s="89">
        <f t="shared" si="31"/>
        <v>196.55032769126271</v>
      </c>
      <c r="K196" s="89">
        <f t="shared" si="31"/>
        <v>208.97280640175182</v>
      </c>
      <c r="L196" s="90">
        <f t="shared" si="31"/>
        <v>216.649238997807</v>
      </c>
      <c r="M196" s="89">
        <f t="shared" si="31"/>
        <v>223.45566983309541</v>
      </c>
      <c r="N196" s="89">
        <f t="shared" si="31"/>
        <v>231.54416386513901</v>
      </c>
      <c r="O196" s="89">
        <f t="shared" si="31"/>
        <v>237.15999883498912</v>
      </c>
      <c r="P196" s="89">
        <f t="shared" si="31"/>
        <v>249.01803913472389</v>
      </c>
      <c r="R196" s="89">
        <f t="shared" si="22"/>
        <v>0.83794426494752727</v>
      </c>
      <c r="S196" s="91">
        <v>184</v>
      </c>
      <c r="T196" s="89">
        <f t="shared" si="23"/>
        <v>153.62347649540686</v>
      </c>
      <c r="U196" s="89">
        <f t="shared" si="24"/>
        <v>183.33376445392449</v>
      </c>
      <c r="V196" s="89">
        <f t="shared" si="25"/>
        <v>216.649238997807</v>
      </c>
      <c r="X196" s="86">
        <f t="shared" si="26"/>
        <v>33733.412659522102</v>
      </c>
    </row>
    <row r="197" spans="2:24" x14ac:dyDescent="0.25">
      <c r="B197" s="86">
        <v>185</v>
      </c>
      <c r="C197" s="89">
        <f t="shared" si="31"/>
        <v>139.21036483317144</v>
      </c>
      <c r="D197" s="89">
        <f t="shared" si="31"/>
        <v>143.21130535570322</v>
      </c>
      <c r="E197" s="89">
        <f t="shared" si="31"/>
        <v>149.22784945008965</v>
      </c>
      <c r="F197" s="90">
        <f t="shared" si="31"/>
        <v>154.53774193038268</v>
      </c>
      <c r="G197" s="89">
        <f t="shared" si="31"/>
        <v>160.81667661190761</v>
      </c>
      <c r="H197" s="89">
        <f t="shared" si="31"/>
        <v>171.68839411075149</v>
      </c>
      <c r="I197" s="90">
        <f t="shared" si="31"/>
        <v>184.33376211436433</v>
      </c>
      <c r="J197" s="89">
        <f t="shared" si="31"/>
        <v>197.58550777580163</v>
      </c>
      <c r="K197" s="89">
        <f t="shared" si="31"/>
        <v>210.03962952102444</v>
      </c>
      <c r="L197" s="90">
        <f t="shared" si="31"/>
        <v>217.73498085144874</v>
      </c>
      <c r="M197" s="89">
        <f t="shared" si="31"/>
        <v>224.5578060446947</v>
      </c>
      <c r="N197" s="89">
        <f t="shared" si="31"/>
        <v>232.66534141135062</v>
      </c>
      <c r="O197" s="89">
        <f t="shared" si="31"/>
        <v>238.29412771474918</v>
      </c>
      <c r="P197" s="89">
        <f t="shared" si="31"/>
        <v>250.17883002232335</v>
      </c>
      <c r="R197" s="89">
        <f t="shared" si="22"/>
        <v>0.83835831351667633</v>
      </c>
      <c r="S197" s="91">
        <v>185</v>
      </c>
      <c r="T197" s="89">
        <f t="shared" si="23"/>
        <v>154.53774193038268</v>
      </c>
      <c r="U197" s="89">
        <f t="shared" si="24"/>
        <v>184.33376211436433</v>
      </c>
      <c r="V197" s="89">
        <f t="shared" si="25"/>
        <v>217.73498085144874</v>
      </c>
      <c r="X197" s="86">
        <f t="shared" si="26"/>
        <v>34101.745991157404</v>
      </c>
    </row>
    <row r="198" spans="2:24" x14ac:dyDescent="0.25">
      <c r="B198" s="86">
        <v>186</v>
      </c>
      <c r="C198" s="89">
        <f t="shared" si="31"/>
        <v>140.07664516016183</v>
      </c>
      <c r="D198" s="89">
        <f t="shared" si="31"/>
        <v>144.09048701795433</v>
      </c>
      <c r="E198" s="89">
        <f t="shared" si="31"/>
        <v>150.12600544649868</v>
      </c>
      <c r="F198" s="90">
        <f t="shared" si="31"/>
        <v>155.4522393319759</v>
      </c>
      <c r="G198" s="89">
        <f t="shared" si="31"/>
        <v>161.75003548191324</v>
      </c>
      <c r="H198" s="89">
        <f t="shared" si="31"/>
        <v>172.65330581366513</v>
      </c>
      <c r="I198" s="90">
        <f t="shared" si="31"/>
        <v>185.33375980005897</v>
      </c>
      <c r="J198" s="89">
        <f t="shared" si="31"/>
        <v>198.62059254813312</v>
      </c>
      <c r="K198" s="89">
        <f t="shared" si="31"/>
        <v>211.10627169717435</v>
      </c>
      <c r="L198" s="90">
        <f t="shared" si="31"/>
        <v>218.82049065975579</v>
      </c>
      <c r="M198" s="89">
        <f t="shared" si="31"/>
        <v>225.65966600335219</v>
      </c>
      <c r="N198" s="89">
        <f t="shared" si="31"/>
        <v>233.78619146424279</v>
      </c>
      <c r="O198" s="89">
        <f t="shared" si="31"/>
        <v>239.42789432191535</v>
      </c>
      <c r="P198" s="89">
        <f t="shared" si="31"/>
        <v>251.33918725008789</v>
      </c>
      <c r="R198" s="89">
        <f t="shared" si="22"/>
        <v>0.83876914545779613</v>
      </c>
      <c r="S198" s="91">
        <v>186</v>
      </c>
      <c r="T198" s="89">
        <f t="shared" si="23"/>
        <v>155.4522393319759</v>
      </c>
      <c r="U198" s="89">
        <f t="shared" si="24"/>
        <v>185.33375980005897</v>
      </c>
      <c r="V198" s="89">
        <f t="shared" si="25"/>
        <v>218.82049065975579</v>
      </c>
      <c r="X198" s="86">
        <f t="shared" si="26"/>
        <v>34472.079322810969</v>
      </c>
    </row>
    <row r="199" spans="2:24" x14ac:dyDescent="0.25">
      <c r="B199" s="86">
        <v>187</v>
      </c>
      <c r="C199" s="89">
        <f t="shared" si="31"/>
        <v>140.94328433618668</v>
      </c>
      <c r="D199" s="89">
        <f t="shared" si="31"/>
        <v>144.9699931919429</v>
      </c>
      <c r="E199" s="89">
        <f t="shared" si="31"/>
        <v>151.02443529489119</v>
      </c>
      <c r="F199" s="90">
        <f t="shared" si="31"/>
        <v>156.36696682756781</v>
      </c>
      <c r="G199" s="89">
        <f t="shared" si="31"/>
        <v>162.68357382181301</v>
      </c>
      <c r="H199" s="89">
        <f t="shared" si="31"/>
        <v>173.61831209615275</v>
      </c>
      <c r="I199" s="90">
        <f t="shared" si="31"/>
        <v>186.33375751060171</v>
      </c>
      <c r="J199" s="89">
        <f t="shared" si="31"/>
        <v>199.65558277871898</v>
      </c>
      <c r="K199" s="89">
        <f t="shared" si="31"/>
        <v>212.17273439215489</v>
      </c>
      <c r="L199" s="90">
        <f t="shared" si="31"/>
        <v>219.90577029661532</v>
      </c>
      <c r="M199" s="89">
        <f t="shared" si="31"/>
        <v>226.76125193873224</v>
      </c>
      <c r="N199" s="89">
        <f t="shared" si="31"/>
        <v>234.90671666506222</v>
      </c>
      <c r="O199" s="89">
        <f t="shared" si="31"/>
        <v>240.56130157654707</v>
      </c>
      <c r="P199" s="89">
        <f t="shared" si="31"/>
        <v>252.49911430879678</v>
      </c>
      <c r="R199" s="89">
        <f t="shared" si="22"/>
        <v>0.83917680251079085</v>
      </c>
      <c r="S199" s="91">
        <v>187</v>
      </c>
      <c r="T199" s="89">
        <f t="shared" si="23"/>
        <v>156.36696682756781</v>
      </c>
      <c r="U199" s="89">
        <f t="shared" si="24"/>
        <v>186.33375751060171</v>
      </c>
      <c r="V199" s="89">
        <f t="shared" si="25"/>
        <v>219.90577029661532</v>
      </c>
      <c r="X199" s="86">
        <f t="shared" si="26"/>
        <v>34844.412654482519</v>
      </c>
    </row>
    <row r="200" spans="2:24" x14ac:dyDescent="0.25">
      <c r="B200" s="86">
        <v>188</v>
      </c>
      <c r="C200" s="89">
        <f t="shared" si="31"/>
        <v>141.81027948826792</v>
      </c>
      <c r="D200" s="89">
        <f t="shared" si="31"/>
        <v>145.84982127718717</v>
      </c>
      <c r="E200" s="89">
        <f t="shared" si="31"/>
        <v>151.92313679818042</v>
      </c>
      <c r="F200" s="90">
        <f t="shared" si="31"/>
        <v>157.28192256959895</v>
      </c>
      <c r="G200" s="89">
        <f t="shared" si="31"/>
        <v>163.61729018941611</v>
      </c>
      <c r="H200" s="89">
        <f t="shared" si="31"/>
        <v>174.58341219747092</v>
      </c>
      <c r="I200" s="90">
        <f t="shared" si="31"/>
        <v>187.33375524559452</v>
      </c>
      <c r="J200" s="89">
        <f t="shared" si="31"/>
        <v>200.69047922769695</v>
      </c>
      <c r="K200" s="89">
        <f t="shared" si="31"/>
        <v>213.23901904833818</v>
      </c>
      <c r="L200" s="90">
        <f t="shared" si="31"/>
        <v>220.99082161082796</v>
      </c>
      <c r="M200" s="89">
        <f t="shared" si="31"/>
        <v>227.86256605066529</v>
      </c>
      <c r="N200" s="89">
        <f t="shared" si="31"/>
        <v>236.02691961973966</v>
      </c>
      <c r="O200" s="89">
        <f t="shared" si="31"/>
        <v>241.69435235968126</v>
      </c>
      <c r="P200" s="89">
        <f t="shared" si="31"/>
        <v>253.65861464263895</v>
      </c>
      <c r="R200" s="89">
        <f t="shared" si="22"/>
        <v>0.83958132565806076</v>
      </c>
      <c r="S200" s="91">
        <v>188</v>
      </c>
      <c r="T200" s="89">
        <f t="shared" si="23"/>
        <v>157.28192256959895</v>
      </c>
      <c r="U200" s="89">
        <f t="shared" si="24"/>
        <v>187.33375524559452</v>
      </c>
      <c r="V200" s="89">
        <f t="shared" si="25"/>
        <v>220.99082161082796</v>
      </c>
      <c r="X200" s="86">
        <f t="shared" si="26"/>
        <v>35218.745986171773</v>
      </c>
    </row>
    <row r="201" spans="2:24" x14ac:dyDescent="0.25">
      <c r="B201" s="86">
        <v>189</v>
      </c>
      <c r="C201" s="89">
        <f t="shared" si="31"/>
        <v>142.67762778155262</v>
      </c>
      <c r="D201" s="89">
        <f t="shared" si="31"/>
        <v>146.72996870774779</v>
      </c>
      <c r="E201" s="89">
        <f t="shared" si="31"/>
        <v>152.82210778849955</v>
      </c>
      <c r="F201" s="90">
        <f t="shared" si="31"/>
        <v>158.1971047351025</v>
      </c>
      <c r="G201" s="89">
        <f t="shared" si="31"/>
        <v>164.55118316174395</v>
      </c>
      <c r="H201" s="89">
        <f t="shared" si="31"/>
        <v>175.54860536702034</v>
      </c>
      <c r="I201" s="90">
        <f t="shared" si="31"/>
        <v>188.33375300464775</v>
      </c>
      <c r="J201" s="89">
        <f t="shared" si="31"/>
        <v>201.72528264507338</v>
      </c>
      <c r="K201" s="89">
        <f t="shared" si="31"/>
        <v>214.30512708888031</v>
      </c>
      <c r="L201" s="90">
        <f t="shared" si="31"/>
        <v>222.07564642657547</v>
      </c>
      <c r="M201" s="89">
        <f t="shared" si="31"/>
        <v>228.9636105097037</v>
      </c>
      <c r="N201" s="89">
        <f t="shared" si="31"/>
        <v>237.14680289954759</v>
      </c>
      <c r="O201" s="89">
        <f t="shared" si="31"/>
        <v>242.82704951405859</v>
      </c>
      <c r="P201" s="89">
        <f t="shared" si="31"/>
        <v>254.81769165007913</v>
      </c>
      <c r="R201" s="89">
        <f t="shared" si="22"/>
        <v>0.83998275514213572</v>
      </c>
      <c r="S201" s="91">
        <v>189</v>
      </c>
      <c r="T201" s="89">
        <f t="shared" si="23"/>
        <v>158.1971047351025</v>
      </c>
      <c r="U201" s="89">
        <f t="shared" si="24"/>
        <v>188.33375300464775</v>
      </c>
      <c r="V201" s="89">
        <f t="shared" si="25"/>
        <v>222.07564642657547</v>
      </c>
      <c r="X201" s="86">
        <f t="shared" si="26"/>
        <v>35595.079317878422</v>
      </c>
    </row>
    <row r="202" spans="2:24" x14ac:dyDescent="0.25">
      <c r="B202" s="86">
        <v>190</v>
      </c>
      <c r="C202" s="89">
        <f t="shared" si="31"/>
        <v>143.54532641860862</v>
      </c>
      <c r="D202" s="89">
        <f t="shared" si="31"/>
        <v>147.61043295158908</v>
      </c>
      <c r="E202" s="89">
        <f t="shared" si="31"/>
        <v>153.72134612666028</v>
      </c>
      <c r="F202" s="90">
        <f t="shared" si="31"/>
        <v>159.11251152524821</v>
      </c>
      <c r="G202" s="89">
        <f t="shared" si="31"/>
        <v>165.48525133467356</v>
      </c>
      <c r="H202" s="89">
        <f t="shared" si="31"/>
        <v>176.51389086415776</v>
      </c>
      <c r="I202" s="90">
        <f t="shared" si="31"/>
        <v>189.33375078738013</v>
      </c>
      <c r="J202" s="89">
        <f t="shared" si="31"/>
        <v>202.75999377091136</v>
      </c>
      <c r="K202" s="89">
        <f t="shared" si="31"/>
        <v>215.3710599180778</v>
      </c>
      <c r="L202" s="90">
        <f t="shared" si="31"/>
        <v>223.16024654387729</v>
      </c>
      <c r="M202" s="89">
        <f t="shared" si="31"/>
        <v>230.06438745766454</v>
      </c>
      <c r="N202" s="89">
        <f t="shared" si="31"/>
        <v>238.26636904174222</v>
      </c>
      <c r="O202" s="89">
        <f t="shared" si="31"/>
        <v>243.95939584483239</v>
      </c>
      <c r="P202" s="89">
        <f t="shared" si="31"/>
        <v>255.97634868470325</v>
      </c>
      <c r="R202" s="89">
        <f t="shared" si="22"/>
        <v>0.84038113048280516</v>
      </c>
      <c r="S202" s="91">
        <v>190</v>
      </c>
      <c r="T202" s="89">
        <f t="shared" si="23"/>
        <v>159.11251152524821</v>
      </c>
      <c r="U202" s="89">
        <f t="shared" si="24"/>
        <v>189.33375078738013</v>
      </c>
      <c r="V202" s="89">
        <f t="shared" si="25"/>
        <v>223.16024654387729</v>
      </c>
      <c r="X202" s="86">
        <f t="shared" si="26"/>
        <v>35973.412649602222</v>
      </c>
    </row>
    <row r="203" spans="2:24" x14ac:dyDescent="0.25">
      <c r="B203" s="86">
        <v>191</v>
      </c>
      <c r="C203" s="89">
        <f t="shared" si="31"/>
        <v>144.41337263873666</v>
      </c>
      <c r="D203" s="89">
        <f t="shared" si="31"/>
        <v>148.49121150995541</v>
      </c>
      <c r="E203" s="89">
        <f t="shared" si="31"/>
        <v>154.62084970162459</v>
      </c>
      <c r="F203" s="90">
        <f t="shared" si="31"/>
        <v>160.02814116489742</v>
      </c>
      <c r="G203" s="89">
        <f t="shared" si="31"/>
        <v>166.41949332258997</v>
      </c>
      <c r="H203" s="89">
        <f t="shared" si="31"/>
        <v>177.47926795801177</v>
      </c>
      <c r="I203" s="90">
        <f t="shared" si="31"/>
        <v>190.33374859341828</v>
      </c>
      <c r="J203" s="89">
        <f t="shared" si="31"/>
        <v>203.79461333551404</v>
      </c>
      <c r="K203" s="89">
        <f t="shared" si="31"/>
        <v>216.43681892171577</v>
      </c>
      <c r="L203" s="90">
        <f t="shared" si="31"/>
        <v>224.24462373903623</v>
      </c>
      <c r="M203" s="89">
        <f t="shared" si="31"/>
        <v>231.16489900815921</v>
      </c>
      <c r="N203" s="89">
        <f t="shared" si="31"/>
        <v>239.38562055019008</v>
      </c>
      <c r="O203" s="89">
        <f t="shared" si="31"/>
        <v>245.09139412026084</v>
      </c>
      <c r="P203" s="89">
        <f t="shared" si="31"/>
        <v>257.13458905604398</v>
      </c>
      <c r="R203" s="89">
        <f t="shared" si="22"/>
        <v>0.84077649049376824</v>
      </c>
      <c r="S203" s="91">
        <v>191</v>
      </c>
      <c r="T203" s="89">
        <f t="shared" si="23"/>
        <v>160.02814116489742</v>
      </c>
      <c r="U203" s="89">
        <f t="shared" si="24"/>
        <v>190.33374859341828</v>
      </c>
      <c r="V203" s="89">
        <f t="shared" si="25"/>
        <v>224.24462373903623</v>
      </c>
      <c r="X203" s="86">
        <f t="shared" si="26"/>
        <v>36353.745981342894</v>
      </c>
    </row>
    <row r="204" spans="2:24" x14ac:dyDescent="0.25">
      <c r="B204" s="86">
        <v>192</v>
      </c>
      <c r="C204" s="89">
        <f t="shared" si="31"/>
        <v>145.28176371729904</v>
      </c>
      <c r="D204" s="89">
        <f t="shared" si="31"/>
        <v>149.37230191676178</v>
      </c>
      <c r="E204" s="89">
        <f t="shared" si="31"/>
        <v>155.52061642998891</v>
      </c>
      <c r="F204" s="90">
        <f t="shared" si="31"/>
        <v>160.94399190216862</v>
      </c>
      <c r="G204" s="89">
        <f t="shared" si="31"/>
        <v>167.35390775804615</v>
      </c>
      <c r="H204" s="89">
        <f t="shared" si="31"/>
        <v>178.44473592730341</v>
      </c>
      <c r="I204" s="90">
        <f t="shared" si="31"/>
        <v>191.33374642239667</v>
      </c>
      <c r="J204" s="89">
        <f t="shared" si="31"/>
        <v>204.82914205960412</v>
      </c>
      <c r="K204" s="89">
        <f t="shared" si="31"/>
        <v>217.50240546740761</v>
      </c>
      <c r="L204" s="90">
        <f t="shared" si="31"/>
        <v>225.32877976507365</v>
      </c>
      <c r="M204" s="89">
        <f t="shared" si="31"/>
        <v>232.26514724711106</v>
      </c>
      <c r="N204" s="89">
        <f t="shared" si="31"/>
        <v>240.50455989598021</v>
      </c>
      <c r="O204" s="89">
        <f t="shared" si="31"/>
        <v>246.22304707238294</v>
      </c>
      <c r="P204" s="89">
        <f t="shared" si="31"/>
        <v>258.29241603038668</v>
      </c>
      <c r="R204" s="89">
        <f t="shared" si="22"/>
        <v>0.84116887329881518</v>
      </c>
      <c r="S204" s="91">
        <v>192</v>
      </c>
      <c r="T204" s="89">
        <f t="shared" si="23"/>
        <v>160.94399190216862</v>
      </c>
      <c r="U204" s="89">
        <f t="shared" si="24"/>
        <v>191.33374642239667</v>
      </c>
      <c r="V204" s="89">
        <f t="shared" si="25"/>
        <v>225.32877976507365</v>
      </c>
      <c r="X204" s="86">
        <f t="shared" si="26"/>
        <v>36736.079313100163</v>
      </c>
    </row>
    <row r="205" spans="2:24" x14ac:dyDescent="0.25">
      <c r="B205" s="86">
        <v>193</v>
      </c>
      <c r="C205" s="89">
        <f t="shared" si="31"/>
        <v>146.15049696506304</v>
      </c>
      <c r="D205" s="89">
        <f t="shared" si="31"/>
        <v>150.25370173799919</v>
      </c>
      <c r="E205" s="89">
        <f t="shared" si="31"/>
        <v>156.42064425548034</v>
      </c>
      <c r="F205" s="90">
        <f t="shared" si="31"/>
        <v>161.86006200801296</v>
      </c>
      <c r="G205" s="89">
        <f t="shared" si="31"/>
        <v>168.28849329143142</v>
      </c>
      <c r="H205" s="89">
        <f t="shared" si="31"/>
        <v>179.41029406017086</v>
      </c>
      <c r="I205" s="90">
        <f t="shared" si="31"/>
        <v>192.33374427395739</v>
      </c>
      <c r="J205" s="89">
        <f t="shared" si="31"/>
        <v>205.86358065449883</v>
      </c>
      <c r="K205" s="89">
        <f t="shared" si="31"/>
        <v>218.56782090492698</v>
      </c>
      <c r="L205" s="90">
        <f t="shared" si="31"/>
        <v>226.41271635215449</v>
      </c>
      <c r="M205" s="89">
        <f t="shared" si="31"/>
        <v>233.36513423326014</v>
      </c>
      <c r="N205" s="89">
        <f t="shared" si="31"/>
        <v>241.62318951802166</v>
      </c>
      <c r="O205" s="89">
        <f t="shared" si="31"/>
        <v>247.35435739767837</v>
      </c>
      <c r="P205" s="89">
        <f t="shared" si="31"/>
        <v>259.44983283155653</v>
      </c>
      <c r="R205" s="89">
        <f t="shared" si="22"/>
        <v>0.84155831634755596</v>
      </c>
      <c r="S205" s="91">
        <v>193</v>
      </c>
      <c r="T205" s="89">
        <f t="shared" si="23"/>
        <v>161.86006200801296</v>
      </c>
      <c r="U205" s="89">
        <f t="shared" si="24"/>
        <v>192.33374427395739</v>
      </c>
      <c r="V205" s="89">
        <f t="shared" si="25"/>
        <v>226.41271635215449</v>
      </c>
      <c r="X205" s="86">
        <f t="shared" si="26"/>
        <v>37120.412644873773</v>
      </c>
    </row>
    <row r="206" spans="2:24" x14ac:dyDescent="0.25">
      <c r="B206" s="86">
        <v>194</v>
      </c>
      <c r="C206" s="89">
        <f t="shared" si="31"/>
        <v>147.01956972756099</v>
      </c>
      <c r="D206" s="89">
        <f t="shared" si="31"/>
        <v>151.13540857115353</v>
      </c>
      <c r="E206" s="89">
        <f t="shared" si="31"/>
        <v>157.32093114846464</v>
      </c>
      <c r="F206" s="90">
        <f t="shared" si="31"/>
        <v>162.77634977579996</v>
      </c>
      <c r="G206" s="89">
        <f t="shared" si="31"/>
        <v>169.22324859064742</v>
      </c>
      <c r="H206" s="89">
        <f t="shared" si="31"/>
        <v>180.37594165399801</v>
      </c>
      <c r="I206" s="90">
        <f t="shared" si="31"/>
        <v>193.33374214774994</v>
      </c>
      <c r="J206" s="89">
        <f t="shared" si="31"/>
        <v>206.89792982228076</v>
      </c>
      <c r="K206" s="89">
        <f t="shared" si="31"/>
        <v>219.63306656653182</v>
      </c>
      <c r="L206" s="90">
        <f t="shared" si="31"/>
        <v>227.49643520800225</v>
      </c>
      <c r="M206" s="89">
        <f t="shared" si="31"/>
        <v>234.46486199865697</v>
      </c>
      <c r="N206" s="89">
        <f t="shared" si="31"/>
        <v>242.74151182362706</v>
      </c>
      <c r="O206" s="89">
        <f t="shared" si="31"/>
        <v>248.48532775771235</v>
      </c>
      <c r="P206" s="89">
        <f t="shared" si="31"/>
        <v>260.60684264168765</v>
      </c>
      <c r="R206" s="89">
        <f t="shared" ref="R206:R212" si="32">F206/I206</f>
        <v>0.84194485643071371</v>
      </c>
      <c r="S206" s="91">
        <v>194</v>
      </c>
      <c r="T206" s="89">
        <f t="shared" ref="T206:T212" si="33">F206</f>
        <v>162.77634977579996</v>
      </c>
      <c r="U206" s="89">
        <f t="shared" ref="U206:U212" si="34">I206</f>
        <v>193.33374214774994</v>
      </c>
      <c r="V206" s="89">
        <f t="shared" ref="V206:V212" si="35">L206</f>
        <v>227.49643520800225</v>
      </c>
      <c r="X206" s="86">
        <f t="shared" ref="X206:X212" si="36">B206*I206</f>
        <v>37506.745976663486</v>
      </c>
    </row>
    <row r="207" spans="2:24" x14ac:dyDescent="0.25">
      <c r="B207" s="86">
        <v>195</v>
      </c>
      <c r="C207" s="89">
        <f t="shared" si="31"/>
        <v>147.88897938446374</v>
      </c>
      <c r="D207" s="89">
        <f t="shared" si="31"/>
        <v>152.01742004463816</v>
      </c>
      <c r="E207" s="89">
        <f t="shared" si="31"/>
        <v>158.22147510546554</v>
      </c>
      <c r="F207" s="90">
        <f t="shared" si="31"/>
        <v>163.69285352091248</v>
      </c>
      <c r="G207" s="89">
        <f t="shared" si="31"/>
        <v>170.15817234079159</v>
      </c>
      <c r="H207" s="89">
        <f t="shared" si="31"/>
        <v>181.34167801524748</v>
      </c>
      <c r="I207" s="90">
        <f t="shared" si="31"/>
        <v>194.33374004343102</v>
      </c>
      <c r="J207" s="89">
        <f t="shared" si="31"/>
        <v>207.93219025596491</v>
      </c>
      <c r="K207" s="89">
        <f t="shared" si="31"/>
        <v>220.69814376728098</v>
      </c>
      <c r="L207" s="90">
        <f t="shared" si="31"/>
        <v>228.57993801830452</v>
      </c>
      <c r="M207" s="89">
        <f t="shared" si="31"/>
        <v>235.56433254914424</v>
      </c>
      <c r="N207" s="89">
        <f t="shared" si="31"/>
        <v>243.85952918908308</v>
      </c>
      <c r="O207" s="89">
        <f t="shared" si="31"/>
        <v>249.61596077976515</v>
      </c>
      <c r="P207" s="89">
        <f t="shared" si="31"/>
        <v>261.76344860197389</v>
      </c>
      <c r="R207" s="89">
        <f t="shared" si="32"/>
        <v>0.84232852969499428</v>
      </c>
      <c r="S207" s="91">
        <v>195</v>
      </c>
      <c r="T207" s="89">
        <f t="shared" si="33"/>
        <v>163.69285352091248</v>
      </c>
      <c r="U207" s="89">
        <f t="shared" si="34"/>
        <v>194.33374004343102</v>
      </c>
      <c r="V207" s="89">
        <f t="shared" si="35"/>
        <v>228.57993801830452</v>
      </c>
      <c r="X207" s="86">
        <f t="shared" si="36"/>
        <v>37895.079308469052</v>
      </c>
    </row>
    <row r="208" spans="2:24" x14ac:dyDescent="0.25">
      <c r="B208" s="86">
        <v>196</v>
      </c>
      <c r="C208" s="89">
        <f t="shared" si="31"/>
        <v>148.75872334896994</v>
      </c>
      <c r="D208" s="89">
        <f t="shared" si="31"/>
        <v>152.89973381723928</v>
      </c>
      <c r="E208" s="89">
        <f t="shared" si="31"/>
        <v>159.12227414869531</v>
      </c>
      <c r="F208" s="90">
        <f t="shared" si="31"/>
        <v>164.60957158035146</v>
      </c>
      <c r="G208" s="89">
        <f t="shared" si="31"/>
        <v>171.09326324384801</v>
      </c>
      <c r="H208" s="89">
        <f t="shared" si="31"/>
        <v>182.30750245929693</v>
      </c>
      <c r="I208" s="90">
        <f t="shared" si="31"/>
        <v>195.33373796066434</v>
      </c>
      <c r="J208" s="89">
        <f t="shared" si="31"/>
        <v>208.96636263966184</v>
      </c>
      <c r="K208" s="89">
        <f t="shared" si="31"/>
        <v>221.76305380534347</v>
      </c>
      <c r="L208" s="90">
        <f t="shared" si="31"/>
        <v>229.66322644710888</v>
      </c>
      <c r="M208" s="89">
        <f t="shared" si="31"/>
        <v>236.66354786482768</v>
      </c>
      <c r="N208" s="89">
        <f t="shared" si="31"/>
        <v>244.97724396020712</v>
      </c>
      <c r="O208" s="89">
        <f t="shared" si="31"/>
        <v>250.74625905744745</v>
      </c>
      <c r="P208" s="89">
        <f t="shared" si="31"/>
        <v>262.91965381340259</v>
      </c>
      <c r="R208" s="89">
        <f t="shared" si="32"/>
        <v>0.84270937165754745</v>
      </c>
      <c r="S208" s="91">
        <v>196</v>
      </c>
      <c r="T208" s="89">
        <f t="shared" si="33"/>
        <v>164.60957158035146</v>
      </c>
      <c r="U208" s="89">
        <f t="shared" si="34"/>
        <v>195.33373796066434</v>
      </c>
      <c r="V208" s="89">
        <f t="shared" si="35"/>
        <v>229.66322644710888</v>
      </c>
      <c r="X208" s="86">
        <f t="shared" si="36"/>
        <v>38285.412640290211</v>
      </c>
    </row>
    <row r="209" spans="2:24" x14ac:dyDescent="0.25">
      <c r="B209" s="86">
        <v>197</v>
      </c>
      <c r="C209" s="89">
        <f t="shared" si="31"/>
        <v>149.62879906720789</v>
      </c>
      <c r="D209" s="89">
        <f t="shared" si="31"/>
        <v>153.78234757757431</v>
      </c>
      <c r="E209" s="89">
        <f t="shared" si="31"/>
        <v>160.02332632559589</v>
      </c>
      <c r="F209" s="90">
        <f t="shared" si="31"/>
        <v>165.52650231234946</v>
      </c>
      <c r="G209" s="89">
        <f t="shared" si="31"/>
        <v>172.02852001838536</v>
      </c>
      <c r="H209" s="89">
        <f t="shared" si="31"/>
        <v>183.27341431027969</v>
      </c>
      <c r="I209" s="90">
        <f t="shared" si="31"/>
        <v>196.33373589912048</v>
      </c>
      <c r="J209" s="89">
        <f t="shared" si="31"/>
        <v>210.00044764873689</v>
      </c>
      <c r="K209" s="89">
        <f t="shared" si="31"/>
        <v>222.82779796230054</v>
      </c>
      <c r="L209" s="90">
        <f t="shared" si="31"/>
        <v>230.74630213720997</v>
      </c>
      <c r="M209" s="89">
        <f t="shared" si="31"/>
        <v>237.76250990053606</v>
      </c>
      <c r="N209" s="89">
        <f t="shared" si="31"/>
        <v>246.09465845289168</v>
      </c>
      <c r="O209" s="89">
        <f t="shared" si="31"/>
        <v>251.87622515130121</v>
      </c>
      <c r="P209" s="89">
        <f t="shared" si="31"/>
        <v>264.07546133747172</v>
      </c>
      <c r="R209" s="89">
        <f t="shared" si="32"/>
        <v>0.84308741722003255</v>
      </c>
      <c r="S209" s="91">
        <v>197</v>
      </c>
      <c r="T209" s="89">
        <f t="shared" si="33"/>
        <v>165.52650231234946</v>
      </c>
      <c r="U209" s="89">
        <f t="shared" si="34"/>
        <v>196.33373589912048</v>
      </c>
      <c r="V209" s="89">
        <f t="shared" si="35"/>
        <v>230.74630213720997</v>
      </c>
      <c r="X209" s="86">
        <f t="shared" si="36"/>
        <v>38677.745972126737</v>
      </c>
    </row>
    <row r="210" spans="2:24" x14ac:dyDescent="0.25">
      <c r="B210" s="86">
        <v>198</v>
      </c>
      <c r="C210" s="89">
        <f t="shared" si="31"/>
        <v>150.49920401765215</v>
      </c>
      <c r="D210" s="89">
        <f t="shared" si="31"/>
        <v>154.66525904356251</v>
      </c>
      <c r="E210" s="89">
        <f t="shared" si="31"/>
        <v>160.92462970839077</v>
      </c>
      <c r="F210" s="90">
        <f t="shared" si="31"/>
        <v>166.44364409599305</v>
      </c>
      <c r="G210" s="89">
        <f t="shared" si="31"/>
        <v>172.96394139926176</v>
      </c>
      <c r="H210" s="89">
        <f t="shared" si="31"/>
        <v>184.23941290092861</v>
      </c>
      <c r="I210" s="90">
        <f t="shared" si="31"/>
        <v>197.33373385847673</v>
      </c>
      <c r="J210" s="89">
        <f t="shared" si="31"/>
        <v>211.03444594996606</v>
      </c>
      <c r="K210" s="89">
        <f t="shared" si="31"/>
        <v>223.89237750344094</v>
      </c>
      <c r="L210" s="90">
        <f t="shared" si="31"/>
        <v>231.82916671052752</v>
      </c>
      <c r="M210" s="89">
        <f t="shared" si="31"/>
        <v>238.8612205862706</v>
      </c>
      <c r="N210" s="89">
        <f t="shared" si="31"/>
        <v>247.21177495363605</v>
      </c>
      <c r="O210" s="89">
        <f t="shared" si="31"/>
        <v>253.00586158938719</v>
      </c>
      <c r="P210" s="89">
        <f t="shared" si="31"/>
        <v>265.23087419689006</v>
      </c>
      <c r="R210" s="89">
        <f t="shared" si="32"/>
        <v>0.84346270068230023</v>
      </c>
      <c r="S210" s="91">
        <v>198</v>
      </c>
      <c r="T210" s="89">
        <f t="shared" si="33"/>
        <v>166.44364409599305</v>
      </c>
      <c r="U210" s="89">
        <f t="shared" si="34"/>
        <v>197.33373385847673</v>
      </c>
      <c r="V210" s="89">
        <f t="shared" si="35"/>
        <v>231.82916671052752</v>
      </c>
      <c r="X210" s="86">
        <f t="shared" si="36"/>
        <v>39072.079303978397</v>
      </c>
    </row>
    <row r="211" spans="2:24" x14ac:dyDescent="0.25">
      <c r="B211" s="86">
        <v>199</v>
      </c>
      <c r="C211" s="89">
        <f t="shared" si="31"/>
        <v>151.36993571055305</v>
      </c>
      <c r="D211" s="89">
        <f t="shared" si="31"/>
        <v>155.54846596190748</v>
      </c>
      <c r="E211" s="89">
        <f t="shared" si="31"/>
        <v>161.82618239364686</v>
      </c>
      <c r="F211" s="90">
        <f t="shared" si="31"/>
        <v>167.36099533085397</v>
      </c>
      <c r="G211" s="89">
        <f t="shared" si="31"/>
        <v>173.89952613733632</v>
      </c>
      <c r="H211" s="89">
        <f t="shared" si="31"/>
        <v>185.20549757242378</v>
      </c>
      <c r="I211" s="90">
        <f t="shared" si="31"/>
        <v>198.33373183841684</v>
      </c>
      <c r="J211" s="89">
        <f t="shared" si="31"/>
        <v>212.068358201688</v>
      </c>
      <c r="K211" s="89">
        <f t="shared" si="31"/>
        <v>224.95679367804951</v>
      </c>
      <c r="L211" s="90">
        <f t="shared" si="31"/>
        <v>232.91182176847585</v>
      </c>
      <c r="M211" s="89">
        <f t="shared" si="31"/>
        <v>239.95968182764423</v>
      </c>
      <c r="N211" s="89">
        <f t="shared" si="31"/>
        <v>248.32859572006598</v>
      </c>
      <c r="O211" s="89">
        <f t="shared" si="31"/>
        <v>254.13517086785882</v>
      </c>
      <c r="P211" s="89">
        <f t="shared" si="31"/>
        <v>266.38589537626206</v>
      </c>
      <c r="R211" s="89">
        <f t="shared" si="32"/>
        <v>0.84383525575570539</v>
      </c>
      <c r="S211" s="91">
        <v>199</v>
      </c>
      <c r="T211" s="89">
        <f t="shared" si="33"/>
        <v>167.36099533085397</v>
      </c>
      <c r="U211" s="89">
        <f t="shared" si="34"/>
        <v>198.33373183841684</v>
      </c>
      <c r="V211" s="89">
        <f t="shared" si="35"/>
        <v>232.91182176847585</v>
      </c>
      <c r="X211" s="86">
        <f t="shared" si="36"/>
        <v>39468.41263584495</v>
      </c>
    </row>
    <row r="212" spans="2:24" x14ac:dyDescent="0.25">
      <c r="B212" s="86">
        <v>200</v>
      </c>
      <c r="C212" s="89">
        <f t="shared" si="31"/>
        <v>152.24099168737837</v>
      </c>
      <c r="D212" s="89">
        <f t="shared" si="31"/>
        <v>156.43196610759171</v>
      </c>
      <c r="E212" s="89">
        <f t="shared" si="31"/>
        <v>162.72798250184627</v>
      </c>
      <c r="F212" s="90">
        <f t="shared" si="31"/>
        <v>168.27855443662838</v>
      </c>
      <c r="G212" s="89">
        <f t="shared" si="31"/>
        <v>174.83527299918731</v>
      </c>
      <c r="H212" s="89">
        <f t="shared" si="31"/>
        <v>186.17166767424348</v>
      </c>
      <c r="I212" s="90">
        <f t="shared" si="31"/>
        <v>199.33372983863097</v>
      </c>
      <c r="J212" s="89">
        <f t="shared" si="31"/>
        <v>213.10218505395287</v>
      </c>
      <c r="K212" s="89">
        <f t="shared" si="31"/>
        <v>226.02104771968897</v>
      </c>
      <c r="L212" s="90">
        <f t="shared" si="31"/>
        <v>233.99426889232492</v>
      </c>
      <c r="M212" s="89">
        <f t="shared" si="31"/>
        <v>241.05789550631093</v>
      </c>
      <c r="N212" s="89">
        <f t="shared" si="31"/>
        <v>249.44512298144161</v>
      </c>
      <c r="O212" s="89">
        <f t="shared" si="31"/>
        <v>255.26415545152315</v>
      </c>
      <c r="P212" s="89">
        <f t="shared" si="31"/>
        <v>267.54052782275721</v>
      </c>
      <c r="R212" s="89">
        <f t="shared" si="32"/>
        <v>0.84420511557605904</v>
      </c>
      <c r="S212" s="91">
        <v>200</v>
      </c>
      <c r="T212" s="89">
        <f t="shared" si="33"/>
        <v>168.27855443662838</v>
      </c>
      <c r="U212" s="89">
        <f t="shared" si="34"/>
        <v>199.33372983863097</v>
      </c>
      <c r="V212" s="89">
        <f t="shared" si="35"/>
        <v>233.99426889232492</v>
      </c>
      <c r="X212" s="86">
        <f t="shared" si="36"/>
        <v>39866.745967726194</v>
      </c>
    </row>
  </sheetData>
  <mergeCells count="3">
    <mergeCell ref="C8:P8"/>
    <mergeCell ref="B9:P11"/>
    <mergeCell ref="R11:V11"/>
  </mergeCells>
  <printOptions horizontalCentered="1"/>
  <pageMargins left="0.7" right="0.7" top="1" bottom="1" header="0.5" footer="0.5"/>
  <pageSetup firstPageNumber="324" orientation="portrait" horizontalDpi="4294967292" verticalDpi="300" r:id="rId1"/>
  <headerFooter alignWithMargins="0">
    <oddFooter>&amp;R&amp;9Appendix E: Tables - Page &amp;P</oddFooter>
  </headerFooter>
  <colBreaks count="1" manualBreakCount="1">
    <brk id="9"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7</vt:i4>
      </vt:variant>
    </vt:vector>
  </HeadingPairs>
  <TitlesOfParts>
    <vt:vector size="15" baseType="lpstr">
      <vt:lpstr>RAM_ECI-1_Caso-A</vt:lpstr>
      <vt:lpstr>RAM_ECI-1_Caso-B</vt:lpstr>
      <vt:lpstr>Datos</vt:lpstr>
      <vt:lpstr>Plantilla Dt. Sht.</vt:lpstr>
      <vt:lpstr>OREDA 2009</vt:lpstr>
      <vt:lpstr>API581</vt:lpstr>
      <vt:lpstr>TPR Gamma</vt:lpstr>
      <vt:lpstr>Chi-Square</vt:lpstr>
      <vt:lpstr>'Chi-Square'!Área_de_impresión</vt:lpstr>
      <vt:lpstr>'Plantilla Dt. Sht.'!Área_de_impresión</vt:lpstr>
      <vt:lpstr>Datos!Datos_Completos</vt:lpstr>
      <vt:lpstr>Datos_TPR</vt:lpstr>
      <vt:lpstr>Matriz_DataSheets</vt:lpstr>
      <vt:lpstr>OREDA2009</vt:lpstr>
      <vt:lpstr>'Chi-Square'!Títulos_a_imprimir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evelyn.cordova</dc:creator>
  <cp:lastModifiedBy>Elimar A. Rojas M.</cp:lastModifiedBy>
  <cp:lastPrinted>2021-10-22T04:52:46Z</cp:lastPrinted>
  <dcterms:created xsi:type="dcterms:W3CDTF">2013-11-13T19:53:32Z</dcterms:created>
  <dcterms:modified xsi:type="dcterms:W3CDTF">2021-10-25T21:56:10Z</dcterms:modified>
</cp:coreProperties>
</file>