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2.xml" ContentType="application/vnd.ms-excel.slicer+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o/Documents/Interview prep/Data Analyst/EXCEL data analysis/portfolio project/"/>
    </mc:Choice>
  </mc:AlternateContent>
  <xr:revisionPtr revIDLastSave="0" documentId="13_ncr:1_{459B1ECD-8531-BF4E-A88F-5C247D966AF1}" xr6:coauthVersionLast="47" xr6:coauthVersionMax="47" xr10:uidLastSave="{00000000-0000-0000-0000-000000000000}"/>
  <bookViews>
    <workbookView xWindow="0" yWindow="500" windowWidth="25600" windowHeight="14480" firstSheet="3" activeTab="9" xr2:uid="{26D4546B-D2A1-4444-8EAF-A6228F96F0C1}"/>
  </bookViews>
  <sheets>
    <sheet name="Data" sheetId="1" r:id="rId1"/>
    <sheet name="Statistics" sheetId="2" r:id="rId2"/>
    <sheet name="EDA" sheetId="3" r:id="rId3"/>
    <sheet name="sales by country" sheetId="4" r:id="rId4"/>
    <sheet name="top 5 prodcuts by $ per unit" sheetId="5" r:id="rId5"/>
    <sheet name="anomaly detection" sheetId="7" r:id="rId6"/>
    <sheet name="best salesperson by country" sheetId="8" r:id="rId7"/>
    <sheet name="profit by product" sheetId="9" r:id="rId8"/>
    <sheet name="dynamic report" sheetId="11" r:id="rId9"/>
    <sheet name="products to discontinue" sheetId="12" r:id="rId10"/>
  </sheets>
  <definedNames>
    <definedName name="_xlnm._FilterDatabase" localSheetId="0" hidden="1">Data!$C$9:$G$9</definedName>
    <definedName name="_xlnm._FilterDatabase" localSheetId="3" hidden="1">'sales by country'!$A$3:$D$3</definedName>
    <definedName name="_xlnm._FilterDatabase" localSheetId="4" hidden="1">'top 5 prodcuts by $ per unit'!$F$2:$G$2</definedName>
    <definedName name="_xlchart.v1.0" hidden="1">'anomaly detection'!$L$3:$L$301</definedName>
    <definedName name="_xlchart.v1.1" hidden="1">'anomaly detection'!$N$2</definedName>
    <definedName name="_xlchart.v1.2" hidden="1">'anomaly detection'!$N$3:$N$301</definedName>
    <definedName name="_xlchart.v1.3" hidden="1">'anomaly detection'!$O$2:$O$300</definedName>
    <definedName name="_xlchart.v1.4" hidden="1">'anomaly detection'!$Q$1</definedName>
    <definedName name="_xlchart.v1.5" hidden="1">'anomaly detection'!$Q$2:$Q$300</definedName>
    <definedName name="Slicer_Geography">#N/A</definedName>
    <definedName name="Slicer_Sales_Person">#N/A</definedName>
  </definedNames>
  <calcPr calcId="191029"/>
  <pivotCaches>
    <pivotCache cacheId="1" r:id="rId11"/>
    <pivotCache cacheId="12"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11" l="1"/>
  <c r="I20" i="11"/>
  <c r="I19" i="11"/>
  <c r="I18" i="11"/>
  <c r="I17" i="11"/>
  <c r="I16" i="11"/>
  <c r="I15" i="11"/>
  <c r="I14" i="11"/>
  <c r="I13" i="11"/>
  <c r="I12" i="11"/>
  <c r="H21" i="11"/>
  <c r="J21" i="11" s="1"/>
  <c r="H20" i="11"/>
  <c r="J20" i="11" s="1"/>
  <c r="H19" i="11"/>
  <c r="J19" i="11" s="1"/>
  <c r="H18" i="11"/>
  <c r="J18" i="11" s="1"/>
  <c r="H17" i="11"/>
  <c r="J17" i="11" s="1"/>
  <c r="H16" i="11"/>
  <c r="J16" i="11" s="1"/>
  <c r="H15" i="11"/>
  <c r="J15" i="11" s="1"/>
  <c r="H14" i="11"/>
  <c r="J14" i="11" s="1"/>
  <c r="H13" i="11"/>
  <c r="J13" i="11" s="1"/>
  <c r="H12" i="11"/>
  <c r="J12" i="11" s="1"/>
  <c r="G12" i="11" a="1"/>
  <c r="G12" i="11" s="1"/>
  <c r="R14" i="11" a="1"/>
  <c r="R14" i="11" s="1"/>
  <c r="D17" i="11"/>
  <c r="D16" i="11"/>
  <c r="D15" i="11"/>
  <c r="D14" i="11"/>
  <c r="C14" i="11"/>
  <c r="C17" i="11"/>
  <c r="C16" i="11"/>
  <c r="C15" i="11"/>
  <c r="D11" i="11"/>
  <c r="R6" i="11" a="1"/>
  <c r="R6" i="11" s="1"/>
  <c r="O3" i="9"/>
  <c r="O4" i="9"/>
  <c r="O5" i="9"/>
  <c r="P5" i="9" s="1"/>
  <c r="O6" i="9"/>
  <c r="P6" i="9" s="1"/>
  <c r="O7" i="9"/>
  <c r="O8" i="9"/>
  <c r="O9" i="9"/>
  <c r="P9" i="9" s="1"/>
  <c r="O10" i="9"/>
  <c r="P10" i="9" s="1"/>
  <c r="O11" i="9"/>
  <c r="O12" i="9"/>
  <c r="O13" i="9"/>
  <c r="O14" i="9"/>
  <c r="O15" i="9"/>
  <c r="O16" i="9"/>
  <c r="O17" i="9"/>
  <c r="O18" i="9"/>
  <c r="P18" i="9" s="1"/>
  <c r="O19" i="9"/>
  <c r="O20" i="9"/>
  <c r="O21" i="9"/>
  <c r="P21" i="9" s="1"/>
  <c r="O22" i="9"/>
  <c r="P22" i="9" s="1"/>
  <c r="O23" i="9"/>
  <c r="O24" i="9"/>
  <c r="O25" i="9"/>
  <c r="P25" i="9" s="1"/>
  <c r="O26" i="9"/>
  <c r="P26" i="9" s="1"/>
  <c r="O27" i="9"/>
  <c r="O28" i="9"/>
  <c r="O29" i="9"/>
  <c r="O30" i="9"/>
  <c r="O31" i="9"/>
  <c r="O32" i="9"/>
  <c r="O33" i="9"/>
  <c r="O34" i="9"/>
  <c r="P34" i="9" s="1"/>
  <c r="O35" i="9"/>
  <c r="O36" i="9"/>
  <c r="O37" i="9"/>
  <c r="P37" i="9" s="1"/>
  <c r="O38" i="9"/>
  <c r="P38" i="9" s="1"/>
  <c r="O39" i="9"/>
  <c r="O40" i="9"/>
  <c r="O41" i="9"/>
  <c r="P41" i="9" s="1"/>
  <c r="O42" i="9"/>
  <c r="P42" i="9" s="1"/>
  <c r="O43" i="9"/>
  <c r="O44" i="9"/>
  <c r="O45" i="9"/>
  <c r="O46" i="9"/>
  <c r="O47" i="9"/>
  <c r="O48" i="9"/>
  <c r="O49" i="9"/>
  <c r="O50" i="9"/>
  <c r="P50" i="9" s="1"/>
  <c r="O51" i="9"/>
  <c r="O52" i="9"/>
  <c r="O53" i="9"/>
  <c r="P53" i="9" s="1"/>
  <c r="O54" i="9"/>
  <c r="P54" i="9" s="1"/>
  <c r="O55" i="9"/>
  <c r="O56" i="9"/>
  <c r="O57" i="9"/>
  <c r="P57" i="9" s="1"/>
  <c r="O58" i="9"/>
  <c r="P58" i="9" s="1"/>
  <c r="O59" i="9"/>
  <c r="O60" i="9"/>
  <c r="O61" i="9"/>
  <c r="O62" i="9"/>
  <c r="O63" i="9"/>
  <c r="O64" i="9"/>
  <c r="O65" i="9"/>
  <c r="O66" i="9"/>
  <c r="P66" i="9" s="1"/>
  <c r="O67" i="9"/>
  <c r="O68" i="9"/>
  <c r="O69" i="9"/>
  <c r="P69" i="9" s="1"/>
  <c r="O70" i="9"/>
  <c r="P70" i="9" s="1"/>
  <c r="O71" i="9"/>
  <c r="O72" i="9"/>
  <c r="O73" i="9"/>
  <c r="P73" i="9" s="1"/>
  <c r="O74" i="9"/>
  <c r="P74" i="9" s="1"/>
  <c r="O75" i="9"/>
  <c r="O76" i="9"/>
  <c r="O77" i="9"/>
  <c r="O78" i="9"/>
  <c r="O79" i="9"/>
  <c r="O80" i="9"/>
  <c r="O81" i="9"/>
  <c r="O82" i="9"/>
  <c r="P82" i="9" s="1"/>
  <c r="O83" i="9"/>
  <c r="O84" i="9"/>
  <c r="O85" i="9"/>
  <c r="P85" i="9" s="1"/>
  <c r="O86" i="9"/>
  <c r="P86" i="9" s="1"/>
  <c r="O87" i="9"/>
  <c r="O88" i="9"/>
  <c r="O89" i="9"/>
  <c r="P89" i="9" s="1"/>
  <c r="O90" i="9"/>
  <c r="P90" i="9" s="1"/>
  <c r="O91" i="9"/>
  <c r="O92" i="9"/>
  <c r="O93" i="9"/>
  <c r="O94" i="9"/>
  <c r="O95" i="9"/>
  <c r="O96" i="9"/>
  <c r="O97" i="9"/>
  <c r="O98" i="9"/>
  <c r="P98" i="9" s="1"/>
  <c r="O99" i="9"/>
  <c r="O100" i="9"/>
  <c r="O101" i="9"/>
  <c r="P101" i="9" s="1"/>
  <c r="O102" i="9"/>
  <c r="P102" i="9" s="1"/>
  <c r="O103" i="9"/>
  <c r="O104" i="9"/>
  <c r="O105" i="9"/>
  <c r="P105" i="9" s="1"/>
  <c r="O106" i="9"/>
  <c r="P106" i="9" s="1"/>
  <c r="O107" i="9"/>
  <c r="O108" i="9"/>
  <c r="O109" i="9"/>
  <c r="O110" i="9"/>
  <c r="O111" i="9"/>
  <c r="O112" i="9"/>
  <c r="O113" i="9"/>
  <c r="O114" i="9"/>
  <c r="P114" i="9" s="1"/>
  <c r="O115" i="9"/>
  <c r="O116" i="9"/>
  <c r="O117" i="9"/>
  <c r="P117" i="9" s="1"/>
  <c r="O118" i="9"/>
  <c r="P118" i="9" s="1"/>
  <c r="O119" i="9"/>
  <c r="O120" i="9"/>
  <c r="O121" i="9"/>
  <c r="P121" i="9" s="1"/>
  <c r="O122" i="9"/>
  <c r="P122" i="9" s="1"/>
  <c r="O123" i="9"/>
  <c r="O124" i="9"/>
  <c r="O125" i="9"/>
  <c r="O126" i="9"/>
  <c r="O127" i="9"/>
  <c r="O128" i="9"/>
  <c r="O129" i="9"/>
  <c r="O130" i="9"/>
  <c r="P130" i="9" s="1"/>
  <c r="O131" i="9"/>
  <c r="O132" i="9"/>
  <c r="O133" i="9"/>
  <c r="P133" i="9" s="1"/>
  <c r="O134" i="9"/>
  <c r="P134" i="9" s="1"/>
  <c r="O135" i="9"/>
  <c r="O136" i="9"/>
  <c r="O137" i="9"/>
  <c r="P137" i="9" s="1"/>
  <c r="O138" i="9"/>
  <c r="P138" i="9" s="1"/>
  <c r="O139" i="9"/>
  <c r="O140" i="9"/>
  <c r="O141" i="9"/>
  <c r="O142" i="9"/>
  <c r="O143" i="9"/>
  <c r="O144" i="9"/>
  <c r="O145" i="9"/>
  <c r="O146" i="9"/>
  <c r="P146" i="9" s="1"/>
  <c r="O147" i="9"/>
  <c r="O148" i="9"/>
  <c r="O149" i="9"/>
  <c r="P149" i="9" s="1"/>
  <c r="O150" i="9"/>
  <c r="P150" i="9" s="1"/>
  <c r="O151" i="9"/>
  <c r="O152" i="9"/>
  <c r="O153" i="9"/>
  <c r="P153" i="9" s="1"/>
  <c r="O154" i="9"/>
  <c r="P154" i="9" s="1"/>
  <c r="O155" i="9"/>
  <c r="O156" i="9"/>
  <c r="O157" i="9"/>
  <c r="O158" i="9"/>
  <c r="O159" i="9"/>
  <c r="O160" i="9"/>
  <c r="O161" i="9"/>
  <c r="O162" i="9"/>
  <c r="P162" i="9" s="1"/>
  <c r="O163" i="9"/>
  <c r="O164" i="9"/>
  <c r="O165" i="9"/>
  <c r="P165" i="9" s="1"/>
  <c r="O166" i="9"/>
  <c r="P166" i="9" s="1"/>
  <c r="O167" i="9"/>
  <c r="O168" i="9"/>
  <c r="O169" i="9"/>
  <c r="P169" i="9" s="1"/>
  <c r="O170" i="9"/>
  <c r="P170" i="9" s="1"/>
  <c r="O171" i="9"/>
  <c r="O172" i="9"/>
  <c r="O173" i="9"/>
  <c r="O174" i="9"/>
  <c r="O175" i="9"/>
  <c r="O176" i="9"/>
  <c r="O177" i="9"/>
  <c r="O178" i="9"/>
  <c r="P178" i="9" s="1"/>
  <c r="O179" i="9"/>
  <c r="O180" i="9"/>
  <c r="O181" i="9"/>
  <c r="P181" i="9" s="1"/>
  <c r="O182" i="9"/>
  <c r="P182" i="9" s="1"/>
  <c r="O183" i="9"/>
  <c r="O184" i="9"/>
  <c r="O185" i="9"/>
  <c r="P185" i="9" s="1"/>
  <c r="O186" i="9"/>
  <c r="P186" i="9" s="1"/>
  <c r="O187" i="9"/>
  <c r="O188" i="9"/>
  <c r="O189" i="9"/>
  <c r="O190" i="9"/>
  <c r="O191" i="9"/>
  <c r="O192" i="9"/>
  <c r="O193" i="9"/>
  <c r="O194" i="9"/>
  <c r="P194" i="9" s="1"/>
  <c r="O195" i="9"/>
  <c r="O196" i="9"/>
  <c r="O197" i="9"/>
  <c r="P197" i="9" s="1"/>
  <c r="O198" i="9"/>
  <c r="P198" i="9" s="1"/>
  <c r="O199" i="9"/>
  <c r="O200" i="9"/>
  <c r="O201" i="9"/>
  <c r="P201" i="9" s="1"/>
  <c r="O202" i="9"/>
  <c r="P202" i="9" s="1"/>
  <c r="O203" i="9"/>
  <c r="O204" i="9"/>
  <c r="O205" i="9"/>
  <c r="O206" i="9"/>
  <c r="O207" i="9"/>
  <c r="O208" i="9"/>
  <c r="O209" i="9"/>
  <c r="O210" i="9"/>
  <c r="P210" i="9" s="1"/>
  <c r="O211" i="9"/>
  <c r="O212" i="9"/>
  <c r="O213" i="9"/>
  <c r="P213" i="9" s="1"/>
  <c r="O214" i="9"/>
  <c r="P214" i="9" s="1"/>
  <c r="O215" i="9"/>
  <c r="O216" i="9"/>
  <c r="O217" i="9"/>
  <c r="P217" i="9" s="1"/>
  <c r="O218" i="9"/>
  <c r="P218" i="9" s="1"/>
  <c r="O219" i="9"/>
  <c r="O220" i="9"/>
  <c r="O221" i="9"/>
  <c r="O222" i="9"/>
  <c r="O223" i="9"/>
  <c r="O224" i="9"/>
  <c r="O225" i="9"/>
  <c r="O226" i="9"/>
  <c r="P226" i="9" s="1"/>
  <c r="O227" i="9"/>
  <c r="O228" i="9"/>
  <c r="O229" i="9"/>
  <c r="P229" i="9" s="1"/>
  <c r="O230" i="9"/>
  <c r="P230" i="9" s="1"/>
  <c r="O231" i="9"/>
  <c r="O232" i="9"/>
  <c r="O233" i="9"/>
  <c r="P233" i="9" s="1"/>
  <c r="O234" i="9"/>
  <c r="O235" i="9"/>
  <c r="O236" i="9"/>
  <c r="O237" i="9"/>
  <c r="O238" i="9"/>
  <c r="P238" i="9" s="1"/>
  <c r="O239" i="9"/>
  <c r="O240" i="9"/>
  <c r="O241" i="9"/>
  <c r="O242" i="9"/>
  <c r="O243" i="9"/>
  <c r="O244" i="9"/>
  <c r="O245" i="9"/>
  <c r="P245" i="9" s="1"/>
  <c r="O246" i="9"/>
  <c r="P246" i="9" s="1"/>
  <c r="O247" i="9"/>
  <c r="O248" i="9"/>
  <c r="O249" i="9"/>
  <c r="P249" i="9" s="1"/>
  <c r="O250" i="9"/>
  <c r="O251" i="9"/>
  <c r="O252" i="9"/>
  <c r="O253" i="9"/>
  <c r="O254" i="9"/>
  <c r="P254" i="9" s="1"/>
  <c r="O255" i="9"/>
  <c r="O256" i="9"/>
  <c r="O257" i="9"/>
  <c r="O258" i="9"/>
  <c r="O259" i="9"/>
  <c r="O260" i="9"/>
  <c r="O261" i="9"/>
  <c r="P261" i="9" s="1"/>
  <c r="O262" i="9"/>
  <c r="P262" i="9" s="1"/>
  <c r="O263" i="9"/>
  <c r="O264" i="9"/>
  <c r="O265" i="9"/>
  <c r="P265" i="9" s="1"/>
  <c r="O266" i="9"/>
  <c r="O267" i="9"/>
  <c r="O268" i="9"/>
  <c r="O269" i="9"/>
  <c r="O270" i="9"/>
  <c r="P270" i="9" s="1"/>
  <c r="O271" i="9"/>
  <c r="O272" i="9"/>
  <c r="O273" i="9"/>
  <c r="O274" i="9"/>
  <c r="O275" i="9"/>
  <c r="O276" i="9"/>
  <c r="O277" i="9"/>
  <c r="P277" i="9" s="1"/>
  <c r="O278" i="9"/>
  <c r="P278" i="9" s="1"/>
  <c r="O279" i="9"/>
  <c r="O280" i="9"/>
  <c r="O281" i="9"/>
  <c r="P281" i="9" s="1"/>
  <c r="O282" i="9"/>
  <c r="P282" i="9" s="1"/>
  <c r="O283" i="9"/>
  <c r="O284" i="9"/>
  <c r="O285" i="9"/>
  <c r="O286" i="9"/>
  <c r="P286" i="9" s="1"/>
  <c r="O287" i="9"/>
  <c r="O288" i="9"/>
  <c r="O289" i="9"/>
  <c r="O290" i="9"/>
  <c r="P290" i="9" s="1"/>
  <c r="O291" i="9"/>
  <c r="O292" i="9"/>
  <c r="O293" i="9"/>
  <c r="P293" i="9" s="1"/>
  <c r="O294" i="9"/>
  <c r="P294" i="9" s="1"/>
  <c r="O295" i="9"/>
  <c r="O296" i="9"/>
  <c r="O297" i="9"/>
  <c r="P297" i="9" s="1"/>
  <c r="O298" i="9"/>
  <c r="P298" i="9" s="1"/>
  <c r="O299" i="9"/>
  <c r="O300" i="9"/>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P231" i="9" s="1"/>
  <c r="N232" i="9"/>
  <c r="N233" i="9"/>
  <c r="N234" i="9"/>
  <c r="N235" i="9"/>
  <c r="P235" i="9" s="1"/>
  <c r="N236" i="9"/>
  <c r="N237" i="9"/>
  <c r="N238" i="9"/>
  <c r="N239" i="9"/>
  <c r="P239" i="9" s="1"/>
  <c r="N240" i="9"/>
  <c r="N241" i="9"/>
  <c r="N242" i="9"/>
  <c r="N243" i="9"/>
  <c r="P243" i="9" s="1"/>
  <c r="N244" i="9"/>
  <c r="N245" i="9"/>
  <c r="N246" i="9"/>
  <c r="N247" i="9"/>
  <c r="P247" i="9" s="1"/>
  <c r="N248" i="9"/>
  <c r="N249" i="9"/>
  <c r="N250" i="9"/>
  <c r="N251" i="9"/>
  <c r="P251" i="9" s="1"/>
  <c r="N252" i="9"/>
  <c r="N253" i="9"/>
  <c r="N254" i="9"/>
  <c r="N255" i="9"/>
  <c r="P255" i="9" s="1"/>
  <c r="N256" i="9"/>
  <c r="N257" i="9"/>
  <c r="N258" i="9"/>
  <c r="N259" i="9"/>
  <c r="P259" i="9" s="1"/>
  <c r="N260" i="9"/>
  <c r="N261" i="9"/>
  <c r="N262" i="9"/>
  <c r="N263" i="9"/>
  <c r="P263" i="9" s="1"/>
  <c r="N264" i="9"/>
  <c r="N265" i="9"/>
  <c r="N266" i="9"/>
  <c r="N267" i="9"/>
  <c r="P267" i="9" s="1"/>
  <c r="N268" i="9"/>
  <c r="N269" i="9"/>
  <c r="N270" i="9"/>
  <c r="N271" i="9"/>
  <c r="P271" i="9" s="1"/>
  <c r="N272" i="9"/>
  <c r="N273" i="9"/>
  <c r="N274" i="9"/>
  <c r="N275" i="9"/>
  <c r="N276" i="9"/>
  <c r="N277" i="9"/>
  <c r="N278" i="9"/>
  <c r="N279" i="9"/>
  <c r="P279" i="9" s="1"/>
  <c r="N280" i="9"/>
  <c r="N281" i="9"/>
  <c r="N282" i="9"/>
  <c r="N283" i="9"/>
  <c r="P283" i="9" s="1"/>
  <c r="N284" i="9"/>
  <c r="N285" i="9"/>
  <c r="N286" i="9"/>
  <c r="N287" i="9"/>
  <c r="P287" i="9" s="1"/>
  <c r="N288" i="9"/>
  <c r="N289" i="9"/>
  <c r="N290" i="9"/>
  <c r="N291" i="9"/>
  <c r="P291" i="9" s="1"/>
  <c r="N292" i="9"/>
  <c r="N293" i="9"/>
  <c r="N294" i="9"/>
  <c r="N295" i="9"/>
  <c r="P295" i="9" s="1"/>
  <c r="N296" i="9"/>
  <c r="N297" i="9"/>
  <c r="N298" i="9"/>
  <c r="N299" i="9"/>
  <c r="P299" i="9" s="1"/>
  <c r="N300" i="9"/>
  <c r="P13" i="9"/>
  <c r="P17" i="9"/>
  <c r="P29" i="9"/>
  <c r="P33" i="9"/>
  <c r="P45" i="9"/>
  <c r="P49" i="9"/>
  <c r="P61" i="9"/>
  <c r="P65" i="9"/>
  <c r="P77" i="9"/>
  <c r="P81" i="9"/>
  <c r="P93" i="9"/>
  <c r="P97" i="9"/>
  <c r="P109" i="9"/>
  <c r="P113" i="9"/>
  <c r="P125" i="9"/>
  <c r="P129" i="9"/>
  <c r="P141" i="9"/>
  <c r="P145" i="9"/>
  <c r="P157" i="9"/>
  <c r="P161" i="9"/>
  <c r="P173" i="9"/>
  <c r="P177" i="9"/>
  <c r="P189" i="9"/>
  <c r="P193" i="9"/>
  <c r="P205" i="9"/>
  <c r="P209" i="9"/>
  <c r="P221" i="9"/>
  <c r="P225" i="9"/>
  <c r="P237" i="9"/>
  <c r="P241" i="9"/>
  <c r="P253" i="9"/>
  <c r="P257" i="9"/>
  <c r="P269" i="9"/>
  <c r="P273" i="9"/>
  <c r="P285" i="9"/>
  <c r="P289" i="9"/>
  <c r="O2" i="9"/>
  <c r="P2" i="9" s="1"/>
  <c r="P3" i="9"/>
  <c r="P4" i="9"/>
  <c r="P7" i="9"/>
  <c r="P8" i="9"/>
  <c r="P11" i="9"/>
  <c r="P12" i="9"/>
  <c r="P14" i="9"/>
  <c r="P15" i="9"/>
  <c r="P16" i="9"/>
  <c r="P19" i="9"/>
  <c r="P20" i="9"/>
  <c r="P23" i="9"/>
  <c r="P24" i="9"/>
  <c r="P27" i="9"/>
  <c r="P28" i="9"/>
  <c r="P30" i="9"/>
  <c r="P31" i="9"/>
  <c r="P32" i="9"/>
  <c r="P35" i="9"/>
  <c r="P36" i="9"/>
  <c r="P39" i="9"/>
  <c r="P40" i="9"/>
  <c r="P43" i="9"/>
  <c r="P44" i="9"/>
  <c r="P46" i="9"/>
  <c r="P47" i="9"/>
  <c r="P48" i="9"/>
  <c r="P51" i="9"/>
  <c r="P52" i="9"/>
  <c r="P55" i="9"/>
  <c r="P56" i="9"/>
  <c r="P59" i="9"/>
  <c r="P60" i="9"/>
  <c r="P62" i="9"/>
  <c r="P63" i="9"/>
  <c r="P64" i="9"/>
  <c r="P67" i="9"/>
  <c r="P68" i="9"/>
  <c r="P71" i="9"/>
  <c r="P72" i="9"/>
  <c r="P75" i="9"/>
  <c r="P76" i="9"/>
  <c r="P78" i="9"/>
  <c r="P79" i="9"/>
  <c r="P80" i="9"/>
  <c r="P83" i="9"/>
  <c r="P84" i="9"/>
  <c r="P87" i="9"/>
  <c r="P88" i="9"/>
  <c r="P91" i="9"/>
  <c r="P92" i="9"/>
  <c r="P94" i="9"/>
  <c r="P95" i="9"/>
  <c r="P96" i="9"/>
  <c r="P99" i="9"/>
  <c r="P100" i="9"/>
  <c r="P103" i="9"/>
  <c r="P104" i="9"/>
  <c r="P107" i="9"/>
  <c r="P108" i="9"/>
  <c r="P110" i="9"/>
  <c r="P111" i="9"/>
  <c r="P112" i="9"/>
  <c r="P115" i="9"/>
  <c r="P116" i="9"/>
  <c r="P119" i="9"/>
  <c r="P120" i="9"/>
  <c r="P123" i="9"/>
  <c r="P124" i="9"/>
  <c r="P126" i="9"/>
  <c r="P127" i="9"/>
  <c r="P128" i="9"/>
  <c r="P131" i="9"/>
  <c r="P132" i="9"/>
  <c r="P135" i="9"/>
  <c r="P136" i="9"/>
  <c r="P139" i="9"/>
  <c r="P140" i="9"/>
  <c r="P142" i="9"/>
  <c r="P143" i="9"/>
  <c r="P144" i="9"/>
  <c r="P147" i="9"/>
  <c r="P148" i="9"/>
  <c r="P151" i="9"/>
  <c r="P152" i="9"/>
  <c r="P155" i="9"/>
  <c r="P156" i="9"/>
  <c r="P158" i="9"/>
  <c r="P159" i="9"/>
  <c r="P160" i="9"/>
  <c r="P163" i="9"/>
  <c r="P164" i="9"/>
  <c r="P167" i="9"/>
  <c r="P168" i="9"/>
  <c r="P171" i="9"/>
  <c r="P172" i="9"/>
  <c r="P174" i="9"/>
  <c r="P175" i="9"/>
  <c r="P176" i="9"/>
  <c r="P179" i="9"/>
  <c r="P180" i="9"/>
  <c r="P183" i="9"/>
  <c r="P184" i="9"/>
  <c r="P187" i="9"/>
  <c r="P188" i="9"/>
  <c r="P190" i="9"/>
  <c r="P191" i="9"/>
  <c r="P192" i="9"/>
  <c r="P195" i="9"/>
  <c r="P196" i="9"/>
  <c r="P199" i="9"/>
  <c r="P200" i="9"/>
  <c r="P203" i="9"/>
  <c r="P204" i="9"/>
  <c r="P206" i="9"/>
  <c r="P207" i="9"/>
  <c r="P208" i="9"/>
  <c r="P211" i="9"/>
  <c r="P212" i="9"/>
  <c r="P215" i="9"/>
  <c r="P216" i="9"/>
  <c r="P219" i="9"/>
  <c r="P220" i="9"/>
  <c r="P222" i="9"/>
  <c r="P223" i="9"/>
  <c r="P224" i="9"/>
  <c r="P227" i="9"/>
  <c r="P228" i="9"/>
  <c r="P232" i="9"/>
  <c r="P234" i="9"/>
  <c r="P236" i="9"/>
  <c r="P240" i="9"/>
  <c r="P242" i="9"/>
  <c r="P244" i="9"/>
  <c r="P248" i="9"/>
  <c r="P250" i="9"/>
  <c r="P252" i="9"/>
  <c r="P256" i="9"/>
  <c r="P258" i="9"/>
  <c r="P260" i="9"/>
  <c r="P264" i="9"/>
  <c r="P266" i="9"/>
  <c r="P268" i="9"/>
  <c r="P272" i="9"/>
  <c r="P274" i="9"/>
  <c r="P275" i="9"/>
  <c r="P276" i="9"/>
  <c r="P280" i="9"/>
  <c r="P284" i="9"/>
  <c r="P288" i="9"/>
  <c r="P292" i="9"/>
  <c r="P296" i="9"/>
  <c r="P300" i="9"/>
  <c r="N2" i="9"/>
  <c r="A4" i="4" a="1"/>
  <c r="A4" i="4" s="1"/>
  <c r="D4" i="4" s="1"/>
  <c r="D6" i="2"/>
  <c r="C6" i="2"/>
  <c r="D11" i="2"/>
  <c r="C11" i="2"/>
  <c r="D10" i="2"/>
  <c r="C10" i="2"/>
  <c r="D8" i="2"/>
  <c r="C8" i="2"/>
  <c r="D7" i="2"/>
  <c r="D9" i="2" s="1"/>
  <c r="C7" i="2"/>
  <c r="C9" i="2" s="1"/>
  <c r="D5" i="2"/>
  <c r="C5" i="2"/>
  <c r="D4" i="2"/>
  <c r="C4" i="2"/>
  <c r="D11" i="5"/>
  <c r="D24" i="5"/>
  <c r="D23" i="5"/>
  <c r="D22" i="5"/>
  <c r="D21" i="5"/>
  <c r="D20" i="5"/>
  <c r="D19" i="5"/>
  <c r="D18" i="5"/>
  <c r="D17" i="5"/>
  <c r="D16" i="5"/>
  <c r="D15" i="5"/>
  <c r="D14" i="5"/>
  <c r="D13" i="5"/>
  <c r="D12" i="5"/>
  <c r="D10" i="5"/>
  <c r="D9" i="5"/>
  <c r="D8" i="5"/>
  <c r="D7" i="5"/>
  <c r="D6" i="5"/>
  <c r="D5" i="5"/>
  <c r="D4" i="5"/>
  <c r="D3" i="5"/>
  <c r="E7" i="12"/>
  <c r="E25" i="12"/>
  <c r="E24" i="12"/>
  <c r="E23" i="12"/>
  <c r="E22" i="12"/>
  <c r="E21" i="12"/>
  <c r="E20" i="12"/>
  <c r="E19" i="12"/>
  <c r="E18" i="12"/>
  <c r="E17" i="12"/>
  <c r="E16" i="12"/>
  <c r="E15" i="12"/>
  <c r="E14" i="12"/>
  <c r="E13" i="12"/>
  <c r="E12" i="12"/>
  <c r="E11" i="12"/>
  <c r="E10" i="12"/>
  <c r="E9" i="12"/>
  <c r="E8" i="12"/>
  <c r="E6" i="12"/>
  <c r="E5" i="12"/>
  <c r="E4" i="12"/>
  <c r="B4" i="4" l="1"/>
  <c r="C4" i="4" s="1"/>
  <c r="D7" i="4"/>
  <c r="B7" i="4"/>
  <c r="C7" i="4" s="1"/>
  <c r="B8" i="4"/>
  <c r="C8" i="4" s="1"/>
  <c r="D9" i="4"/>
  <c r="B5" i="4"/>
  <c r="C5" i="4" s="1"/>
  <c r="B9" i="4"/>
  <c r="C9" i="4" s="1"/>
  <c r="D8" i="4"/>
  <c r="B6" i="4"/>
  <c r="C6" i="4" s="1"/>
  <c r="D6" i="4"/>
  <c r="D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<sst xmlns="http://schemas.openxmlformats.org/spreadsheetml/2006/main" count="3843" uniqueCount="100">
  <si>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</si>
  <si>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</si>
  <si>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</si>
  <si>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</si>
  <si>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</si>
  <si>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</si>
  <si>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</si>
  <si>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</si>
  <si>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</si>
  <si>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</si>
  <si>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</si>
  <si>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</si>
  <si>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</si>
  <si>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</si>
  <si>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</si>
  <si>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</si>
  <si>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</si>
  <si>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</si>
  <si>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</si>
  <si>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</si>
  <si>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</si>
  <si>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</si>
  <si>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</si>
  <si>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</si>
  <si>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</si>
  <si>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</si>
  <si>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</si>
  <si>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</si>
  <si>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</si>
  <si>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</si>
  <si>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</si>
  <si>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</si>
  <si>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</si>
  <si>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</si>
  <si>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</si>
  <si>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</si>
  <si>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</si>
  <si>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</si>
  <si>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</si>
  <si>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</si>
  <si>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</si>
  <si>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</si>
  <si>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</si>
  <si>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</si>
  <si>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</si>
  <si>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</si>
  <si>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</si>
  <si>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</si>
  <si>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</si>
  <si>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</si>
  <si>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</si>
  <si>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</si>
  <si>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</si>
  <si>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</si>
  <si>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</si>
  <si>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</si>
  <si>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</si>
  <si>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</si>
  <si>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</si>
  <si>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</si>
  <si>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First Q</t>
  </si>
  <si>
    <t>Third Q</t>
  </si>
  <si>
    <t>Distinct Count</t>
  </si>
  <si>
    <t>Quick Statistics</t>
  </si>
  <si>
    <t>Applying conditional formatting to do exploratory data analysis</t>
  </si>
  <si>
    <t>Sales By Country (using formulas)</t>
  </si>
  <si>
    <t>Country</t>
  </si>
  <si>
    <t>Sales By Country (using pivot table)</t>
  </si>
  <si>
    <t>Row Labels</t>
  </si>
  <si>
    <t>Sum of Amount</t>
  </si>
  <si>
    <t>Sum of Units</t>
  </si>
  <si>
    <t xml:space="preserve"> </t>
  </si>
  <si>
    <t>$ per unit</t>
  </si>
  <si>
    <t>The slicer "Sales Person" further filters sales by country  based on the filter criteria</t>
  </si>
  <si>
    <t>$ per unit for products (pivot table)</t>
  </si>
  <si>
    <t>Scatter plot to understand distribution of amount versus units data</t>
  </si>
  <si>
    <t>Box Whisker plot to understan distribution of Amount data for different countries</t>
  </si>
  <si>
    <t>India, Australia, Canada and USA have some outliers</t>
  </si>
  <si>
    <t>Grand Total</t>
  </si>
  <si>
    <t>Best salesperson</t>
  </si>
  <si>
    <t>Worst salesperson</t>
  </si>
  <si>
    <t>Profit</t>
  </si>
  <si>
    <t>Total Cost</t>
  </si>
  <si>
    <t>Sum of Profit</t>
  </si>
  <si>
    <t>Profit by Product (Pivot Table)</t>
  </si>
  <si>
    <t>Dynamic Country Level Sales Report</t>
  </si>
  <si>
    <t>Pick a country</t>
  </si>
  <si>
    <t>Quick Summary</t>
  </si>
  <si>
    <t>By Sales Person</t>
  </si>
  <si>
    <t>Number of Transactions</t>
  </si>
  <si>
    <t>Total</t>
  </si>
  <si>
    <t>Sales</t>
  </si>
  <si>
    <t>Cost</t>
  </si>
  <si>
    <t>Quantity</t>
  </si>
  <si>
    <t>Name</t>
  </si>
  <si>
    <t>Met Target(&gt;=12000)</t>
  </si>
  <si>
    <t>Anomaly detection using scatter plots and box whisker plots</t>
  </si>
  <si>
    <t>Which Products to discontinue?</t>
  </si>
  <si>
    <t>Profit%</t>
  </si>
  <si>
    <t>Based on above data, we can see that products with lowes profit% can be discontinued. Eg: Organic Choco Syrup, 70% Dark Bites, Almond Choco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</si>
</sst>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s>
  <fonts count="14" x14ac:knownFonts="1">
    <font>
      <sz val="11"/>
      <color theme="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sz val="16"/>
      <color theme="1" tint="0.499984740745262"/>
      <name val="Calibri"/>
      <family val="2"/>
      <scheme val="minor"/>
    </font>
    <font>
      <b/>
      <sz val="20"/>
      <color theme="1"/>
      <name val="Calibri"/>
      <family val="2"/>
      <scheme val="minor"/>
    </font>
    <font>
      <i/>
      <sz val="16"/>
      <color theme="1"/>
      <name val="Calibri (Body)"/>
    </font>
    <font>
      <b/>
      <sz val="18"/>
      <color theme="1"/>
      <name val="Calibri"/>
      <family val="2"/>
      <scheme val="minor"/>
    </font>
    <font>
      <b/>
      <sz val="18"/>
      <color theme="1"/>
      <name val="Calibri (Body)"/>
    </font>
    <font>
      <sz val="18"/>
      <color theme="1"/>
      <name val="Calibri"/>
      <family val="2"/>
      <scheme val="minor"/>
    </font>
    <font>
      <b/>
      <sz val="20"/>
      <color theme="1"/>
      <name val="Calibri (Body)"/>
    </font>
  </fonts>
  <fills count="13">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s>
  <borders count="8">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bottom style="thin">
        <color theme="4" tint="0.39997558519241921"/>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68">
    <xf numFmtId="0" fontId="0" fillId="0" borderId="0" xfId="0"/>
    <xf numFmtId="0" fontId="0" fillId="2" borderId="0" xfId="0" applyFill="1"/>
    <xf numFmtId="6"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8" fontId="0" fillId="0" borderId="0" xfId="0" applyNumberFormat="1"/>
    <xf numFmtId="0" fontId="3" fillId="0" borderId="0" xfId="0" applyFont="1"/>
    <xf numFmtId="0" fontId="3" fillId="0" borderId="2" xfId="0" applyFont="1" applyBorder="1"/>
    <xf numFmtId="0" fontId="4" fillId="0" borderId="0" xfId="0" applyFont="1"/>
    <xf numFmtId="0" fontId="3" fillId="4" borderId="0" xfId="0" applyFont="1" applyFill="1"/>
    <xf numFmtId="0" fontId="5" fillId="4" borderId="0" xfId="0" applyFont="1" applyFill="1"/>
    <xf numFmtId="0" fontId="6" fillId="5" borderId="5" xfId="0" applyFont="1" applyFill="1" applyBorder="1"/>
    <xf numFmtId="0" fontId="6" fillId="5" borderId="4" xfId="0" applyFont="1" applyFill="1" applyBorder="1" applyAlignment="1">
      <alignment horizontal="right"/>
    </xf>
    <xf numFmtId="0" fontId="6" fillId="5" borderId="6" xfId="0" applyFont="1" applyFill="1" applyBorder="1" applyAlignment="1">
      <alignment horizontal="right"/>
    </xf>
    <xf numFmtId="0" fontId="4" fillId="0" borderId="5" xfId="0" applyFont="1" applyBorder="1"/>
    <xf numFmtId="164" fontId="4" fillId="0" borderId="4" xfId="2" applyNumberFormat="1" applyFont="1" applyBorder="1"/>
    <xf numFmtId="165" fontId="7" fillId="0" borderId="6" xfId="1" applyNumberFormat="1" applyFont="1" applyBorder="1"/>
    <xf numFmtId="0" fontId="0" fillId="4" borderId="0" xfId="0" applyFill="1"/>
    <xf numFmtId="0" fontId="4" fillId="0" borderId="0" xfId="0" pivotButton="1" applyFont="1"/>
    <xf numFmtId="0" fontId="4" fillId="0" borderId="0" xfId="0" applyFont="1" applyAlignment="1">
      <alignment horizontal="left"/>
    </xf>
    <xf numFmtId="165" fontId="4" fillId="0" borderId="0" xfId="0" applyNumberFormat="1" applyFont="1"/>
    <xf numFmtId="166" fontId="4" fillId="0" borderId="0" xfId="0" applyNumberFormat="1" applyFont="1"/>
    <xf numFmtId="166" fontId="4" fillId="0" borderId="4" xfId="2" applyNumberFormat="1" applyFont="1" applyBorder="1"/>
    <xf numFmtId="2" fontId="4" fillId="0" borderId="0" xfId="0" applyNumberFormat="1" applyFont="1"/>
    <xf numFmtId="0" fontId="6" fillId="7" borderId="7" xfId="0" applyFont="1" applyFill="1" applyBorder="1"/>
    <xf numFmtId="44" fontId="4" fillId="0" borderId="0" xfId="2" applyFont="1"/>
    <xf numFmtId="0" fontId="4" fillId="8" borderId="0" xfId="0" applyFont="1" applyFill="1" applyAlignment="1">
      <alignment horizontal="left"/>
    </xf>
    <xf numFmtId="0" fontId="0" fillId="0" borderId="0" xfId="0"/>
    <xf numFmtId="0" fontId="6" fillId="9" borderId="0" xfId="0" applyFont="1" applyFill="1" applyAlignment="1">
      <alignment horizontal="center" vertical="center"/>
    </xf>
    <xf numFmtId="0" fontId="4" fillId="9" borderId="0" xfId="0" applyFont="1" applyFill="1"/>
    <xf numFmtId="0" fontId="4" fillId="0" borderId="0" xfId="0" applyFont="1"/>
    <xf numFmtId="0" fontId="4" fillId="0" borderId="0" xfId="0" applyNumberFormat="1" applyFont="1"/>
    <xf numFmtId="0" fontId="4" fillId="0" borderId="0" xfId="0" applyFont="1" applyAlignment="1">
      <alignment horizontal="left" indent="1"/>
    </xf>
    <xf numFmtId="5" fontId="4" fillId="0" borderId="0" xfId="0" applyNumberFormat="1" applyFont="1"/>
    <xf numFmtId="0" fontId="4" fillId="10" borderId="0" xfId="0" applyFont="1" applyFill="1" applyAlignment="1">
      <alignment horizontal="center" vertical="center"/>
    </xf>
    <xf numFmtId="0" fontId="0" fillId="0" borderId="0" xfId="0" applyAlignment="1">
      <alignment horizontal="center" vertical="center"/>
    </xf>
    <xf numFmtId="0" fontId="6" fillId="0" borderId="0" xfId="0" applyFont="1"/>
    <xf numFmtId="0" fontId="6" fillId="0" borderId="0" xfId="0" applyFont="1" applyAlignment="1">
      <alignment horizontal="right"/>
    </xf>
    <xf numFmtId="0" fontId="6" fillId="10" borderId="0" xfId="0" applyFont="1" applyFill="1" applyAlignment="1">
      <alignment horizontal="right"/>
    </xf>
    <xf numFmtId="6" fontId="4" fillId="0" borderId="0" xfId="0" applyNumberFormat="1" applyFont="1"/>
    <xf numFmtId="3" fontId="4" fillId="0" borderId="0" xfId="0" applyNumberFormat="1" applyFont="1"/>
    <xf numFmtId="8" fontId="4" fillId="0" borderId="0" xfId="0" applyNumberFormat="1" applyFont="1"/>
    <xf numFmtId="0" fontId="4" fillId="0" borderId="0" xfId="0" applyFont="1" applyAlignment="1"/>
    <xf numFmtId="0" fontId="9" fillId="11" borderId="0" xfId="0" applyFont="1" applyFill="1"/>
    <xf numFmtId="0" fontId="6" fillId="11" borderId="0" xfId="0" applyFont="1" applyFill="1" applyAlignment="1"/>
    <xf numFmtId="0" fontId="6" fillId="11" borderId="0" xfId="0" applyFont="1" applyFill="1" applyAlignment="1"/>
    <xf numFmtId="0" fontId="0" fillId="12" borderId="0" xfId="0" applyFill="1"/>
    <xf numFmtId="0" fontId="6" fillId="12" borderId="0" xfId="0" applyFont="1" applyFill="1"/>
    <xf numFmtId="0" fontId="8" fillId="10" borderId="0" xfId="0" applyFont="1" applyFill="1" applyAlignment="1">
      <alignment horizontal="left" vertical="center"/>
    </xf>
    <xf numFmtId="0" fontId="8" fillId="0" borderId="0" xfId="0" applyFont="1" applyAlignment="1">
      <alignment horizontal="left" vertical="center"/>
    </xf>
    <xf numFmtId="1" fontId="4" fillId="0" borderId="0" xfId="0" applyNumberFormat="1" applyFont="1"/>
    <xf numFmtId="0" fontId="4" fillId="3" borderId="0" xfId="0" applyFont="1" applyFill="1" applyAlignment="1">
      <alignment horizontal="left"/>
    </xf>
    <xf numFmtId="0" fontId="5" fillId="4" borderId="0" xfId="0" applyFont="1" applyFill="1" applyAlignment="1">
      <alignment horizontal="left"/>
    </xf>
    <xf numFmtId="0" fontId="4" fillId="6" borderId="0" xfId="0" applyFont="1" applyFill="1" applyAlignment="1">
      <alignment horizontal="left" vertical="center"/>
    </xf>
    <xf numFmtId="0" fontId="0" fillId="6" borderId="3" xfId="0" applyFill="1" applyBorder="1" applyAlignment="1">
      <alignment horizontal="left" vertical="center"/>
    </xf>
    <xf numFmtId="0" fontId="10" fillId="12" borderId="0" xfId="0" applyFont="1" applyFill="1" applyAlignment="1"/>
    <xf numFmtId="0" fontId="11" fillId="9" borderId="0" xfId="0" applyFont="1" applyFill="1" applyAlignment="1">
      <alignment horizontal="left" vertical="center"/>
    </xf>
    <xf numFmtId="0" fontId="12" fillId="9" borderId="0" xfId="0" applyFont="1" applyFill="1" applyAlignment="1">
      <alignment horizontal="left" vertical="center"/>
    </xf>
    <xf numFmtId="0" fontId="10" fillId="9" borderId="0" xfId="0" applyFont="1" applyFill="1" applyAlignment="1">
      <alignment horizontal="left" vertical="center"/>
    </xf>
    <xf numFmtId="0" fontId="10" fillId="0" borderId="0" xfId="0" applyFont="1" applyAlignment="1">
      <alignment horizontal="left" vertical="center"/>
    </xf>
    <xf numFmtId="0" fontId="0" fillId="12" borderId="0" xfId="0" applyFill="1" applyAlignment="1"/>
    <xf numFmtId="0" fontId="13" fillId="12" borderId="0" xfId="0" applyFont="1" applyFill="1" applyAlignment="1"/>
    <xf numFmtId="9" fontId="4" fillId="0" borderId="0" xfId="3" applyFont="1"/>
    <xf numFmtId="0" fontId="4" fillId="12" borderId="0" xfId="0" applyFont="1" applyFill="1" applyAlignment="1">
      <alignment horizontal="left"/>
    </xf>
  </cellXfs>
  <cellStyles count="4">
    <cellStyle name="Comma" xfId="1" builtinId="3"/>
    <cellStyle name="Currency" xfId="2" builtinId="4"/>
    <cellStyle name="Normal" xfId="0" builtinId="0"/>
    <cellStyle name="Percent" xfId="3" builtinId="5"/>
  </cellStyles>
  <dxfs count="93">
    <dxf>
      <numFmt numFmtId="166" formatCode="&quot;$&quot;#,##0"/>
    </dxf>
    <dxf>
      <font>
        <sz val="16"/>
      </font>
    </dxf>
    <dxf>
      <font>
        <sz val="16"/>
      </font>
    </dxf>
    <dxf>
      <font>
        <sz val="16"/>
      </font>
    </dxf>
    <dxf>
      <font>
        <sz val="16"/>
      </font>
    </dxf>
    <dxf>
      <font>
        <sz val="16"/>
      </font>
    </dxf>
    <dxf>
      <numFmt numFmtId="166" formatCode="&quot;$&quot;#,##0"/>
    </dxf>
    <dxf>
      <numFmt numFmtId="166" formatCode="&quot;$&quo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numFmt numFmtId="12" formatCode="&quot;$&quot;#,##0.00_);[Red]\(&quot;$&quot;#,##0.00\)"/>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b/>
        <i val="0"/>
        <strike val="0"/>
        <condense val="0"/>
        <extend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numFmt numFmtId="10" formatCode="&quot;$&quot;#,##0_);[Red]\(&quot;$&quot;#,##0\)"/>
    </dxf>
    <dxf>
      <font>
        <strike val="0"/>
        <outline val="0"/>
        <shadow val="0"/>
        <u val="none"/>
        <vertAlign val="baseline"/>
        <sz val="16"/>
        <color theme="1"/>
        <name val="Calibri"/>
        <family val="2"/>
        <scheme val="minor"/>
      </font>
      <numFmt numFmtId="0" formatCode="General"/>
    </dxf>
    <dxf>
      <font>
        <strike val="0"/>
        <outline val="0"/>
        <shadow val="0"/>
        <u val="none"/>
        <vertAlign val="baseline"/>
        <sz val="16"/>
        <color theme="1"/>
        <name val="Calibri"/>
        <family val="2"/>
        <scheme val="minor"/>
      </font>
      <numFmt numFmtId="3" formatCode="#,##0"/>
      <fill>
        <patternFill patternType="solid">
          <fgColor indexed="64"/>
          <bgColor theme="7"/>
        </patternFill>
      </fill>
    </dxf>
    <dxf>
      <font>
        <strike val="0"/>
        <outline val="0"/>
        <shadow val="0"/>
        <u val="none"/>
        <vertAlign val="baseline"/>
        <sz val="16"/>
        <color theme="1"/>
        <name val="Calibri"/>
        <family val="2"/>
        <scheme val="minor"/>
      </font>
      <numFmt numFmtId="3" formatCode="#,##0"/>
    </dxf>
    <dxf>
      <font>
        <strike val="0"/>
        <outline val="0"/>
        <shadow val="0"/>
        <u val="none"/>
        <vertAlign val="baseline"/>
        <sz val="16"/>
        <color theme="1"/>
        <name val="Calibri"/>
        <family val="2"/>
        <scheme val="minor"/>
      </font>
      <numFmt numFmtId="10" formatCode="&quot;$&quot;#,##0_);[Red]\(&quot;$&quot;#,##0\)"/>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z val="16"/>
      </font>
    </dxf>
    <dxf>
      <font>
        <sz val="16"/>
      </font>
    </dxf>
    <dxf>
      <font>
        <sz val="16"/>
      </font>
    </dxf>
    <dxf>
      <font>
        <sz val="16"/>
      </font>
    </dxf>
    <dxf>
      <font>
        <sz val="16"/>
      </font>
    </dxf>
    <dxf>
      <font>
        <sz val="16"/>
      </font>
    </dxf>
    <dxf>
      <numFmt numFmtId="9" formatCode="&quot;$&quot;#,##0_);\(&quot;$&quot;#,##0\)"/>
    </dxf>
    <dxf>
      <numFmt numFmtId="166" formatCode="&quot;$&quot;#,##0"/>
    </dxf>
    <dxf>
      <numFmt numFmtId="166" formatCode="&quot;$&quo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2" formatCode="0.00"/>
    </dxf>
    <dxf>
      <font>
        <sz val="16"/>
      </font>
    </dxf>
    <dxf>
      <font>
        <sz val="16"/>
      </font>
    </dxf>
    <dxf>
      <font>
        <sz val="16"/>
      </font>
    </dxf>
    <dxf>
      <font>
        <sz val="16"/>
      </font>
    </dxf>
    <dxf>
      <font>
        <sz val="16"/>
      </font>
    </dxf>
    <dxf>
      <font>
        <sz val="16"/>
      </font>
    </dxf>
    <dxf>
      <numFmt numFmtId="9" formatCode="&quot;$&quot;#,##0_);\(&quot;$&quot;#,##0\)"/>
    </dxf>
    <dxf>
      <numFmt numFmtId="165" formatCode="_(* #,##0_);_(* \(#,##0\);_(* &quot;-&quot;??_);_(@_)"/>
    </dxf>
    <dxf>
      <numFmt numFmtId="166" formatCode="&quot;$&quot;#,##0"/>
    </dxf>
    <dxf>
      <numFmt numFmtId="165" formatCode="_(* #,##0_);_(* \(#,##0\);_(* &quot;-&quot;??_);_(@_)"/>
    </dxf>
    <dxf>
      <font>
        <sz val="16"/>
      </font>
    </dxf>
    <dxf>
      <font>
        <sz val="16"/>
      </font>
    </dxf>
    <dxf>
      <font>
        <sz val="16"/>
      </font>
    </dxf>
    <dxf>
      <font>
        <sz val="16"/>
      </font>
    </dxf>
    <dxf>
      <font>
        <sz val="16"/>
      </font>
    </dxf>
    <dxf>
      <font>
        <sz val="16"/>
      </font>
    </dxf>
    <dxf>
      <numFmt numFmtId="3" formatCode="#,##0"/>
    </dxf>
    <dxf>
      <numFmt numFmtId="10"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detection'!$O$2</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'anomaly detection'!$N$3:$N$301</c:f>
              <c:numCache>
                <c:formatCode>"$"#,##0_);[Red]\("$"#,##0\)</c:formatCode>
                <c:ptCount val="299"/>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4018</c:v>
                </c:pt>
                <c:pt idx="206">
                  <c:v>938</c:v>
                </c:pt>
                <c:pt idx="207">
                  <c:v>1778</c:v>
                </c:pt>
                <c:pt idx="208">
                  <c:v>1638</c:v>
                </c:pt>
                <c:pt idx="209">
                  <c:v>154</c:v>
                </c:pt>
                <c:pt idx="210">
                  <c:v>9835</c:v>
                </c:pt>
                <c:pt idx="211">
                  <c:v>7273</c:v>
                </c:pt>
                <c:pt idx="212">
                  <c:v>6909</c:v>
                </c:pt>
                <c:pt idx="213">
                  <c:v>3920</c:v>
                </c:pt>
                <c:pt idx="214">
                  <c:v>4858</c:v>
                </c:pt>
                <c:pt idx="215">
                  <c:v>3549</c:v>
                </c:pt>
                <c:pt idx="216">
                  <c:v>966</c:v>
                </c:pt>
                <c:pt idx="217">
                  <c:v>385</c:v>
                </c:pt>
                <c:pt idx="218">
                  <c:v>2219</c:v>
                </c:pt>
                <c:pt idx="219">
                  <c:v>2954</c:v>
                </c:pt>
                <c:pt idx="220">
                  <c:v>280</c:v>
                </c:pt>
                <c:pt idx="221">
                  <c:v>6118</c:v>
                </c:pt>
                <c:pt idx="222">
                  <c:v>4802</c:v>
                </c:pt>
                <c:pt idx="223">
                  <c:v>4137</c:v>
                </c:pt>
                <c:pt idx="224">
                  <c:v>2023</c:v>
                </c:pt>
                <c:pt idx="225">
                  <c:v>9051</c:v>
                </c:pt>
                <c:pt idx="226">
                  <c:v>2919</c:v>
                </c:pt>
                <c:pt idx="227">
                  <c:v>5915</c:v>
                </c:pt>
                <c:pt idx="228">
                  <c:v>2562</c:v>
                </c:pt>
                <c:pt idx="229">
                  <c:v>8813</c:v>
                </c:pt>
                <c:pt idx="230">
                  <c:v>6111</c:v>
                </c:pt>
                <c:pt idx="231">
                  <c:v>3507</c:v>
                </c:pt>
                <c:pt idx="232">
                  <c:v>4319</c:v>
                </c:pt>
                <c:pt idx="233">
                  <c:v>609</c:v>
                </c:pt>
                <c:pt idx="234">
                  <c:v>6370</c:v>
                </c:pt>
                <c:pt idx="235">
                  <c:v>5474</c:v>
                </c:pt>
                <c:pt idx="236">
                  <c:v>3164</c:v>
                </c:pt>
                <c:pt idx="237">
                  <c:v>1302</c:v>
                </c:pt>
                <c:pt idx="238">
                  <c:v>7308</c:v>
                </c:pt>
                <c:pt idx="239">
                  <c:v>6132</c:v>
                </c:pt>
                <c:pt idx="240">
                  <c:v>3472</c:v>
                </c:pt>
                <c:pt idx="241">
                  <c:v>9660</c:v>
                </c:pt>
                <c:pt idx="242">
                  <c:v>2436</c:v>
                </c:pt>
                <c:pt idx="243">
                  <c:v>9506</c:v>
                </c:pt>
                <c:pt idx="244">
                  <c:v>245</c:v>
                </c:pt>
                <c:pt idx="245">
                  <c:v>2702</c:v>
                </c:pt>
                <c:pt idx="246">
                  <c:v>700</c:v>
                </c:pt>
                <c:pt idx="247">
                  <c:v>3759</c:v>
                </c:pt>
                <c:pt idx="248">
                  <c:v>1589</c:v>
                </c:pt>
                <c:pt idx="249">
                  <c:v>5194</c:v>
                </c:pt>
                <c:pt idx="250">
                  <c:v>945</c:v>
                </c:pt>
                <c:pt idx="251">
                  <c:v>1988</c:v>
                </c:pt>
                <c:pt idx="252">
                  <c:v>6734</c:v>
                </c:pt>
                <c:pt idx="253">
                  <c:v>217</c:v>
                </c:pt>
                <c:pt idx="254">
                  <c:v>6279</c:v>
                </c:pt>
                <c:pt idx="255">
                  <c:v>4424</c:v>
                </c:pt>
                <c:pt idx="256">
                  <c:v>189</c:v>
                </c:pt>
                <c:pt idx="257">
                  <c:v>490</c:v>
                </c:pt>
                <c:pt idx="258">
                  <c:v>434</c:v>
                </c:pt>
                <c:pt idx="259">
                  <c:v>10129</c:v>
                </c:pt>
                <c:pt idx="260">
                  <c:v>1652</c:v>
                </c:pt>
                <c:pt idx="261">
                  <c:v>6433</c:v>
                </c:pt>
                <c:pt idx="262">
                  <c:v>2212</c:v>
                </c:pt>
                <c:pt idx="263">
                  <c:v>609</c:v>
                </c:pt>
                <c:pt idx="264">
                  <c:v>1638</c:v>
                </c:pt>
                <c:pt idx="265">
                  <c:v>3829</c:v>
                </c:pt>
                <c:pt idx="266">
                  <c:v>5775</c:v>
                </c:pt>
                <c:pt idx="267">
                  <c:v>1071</c:v>
                </c:pt>
                <c:pt idx="268">
                  <c:v>5019</c:v>
                </c:pt>
                <c:pt idx="269">
                  <c:v>2863</c:v>
                </c:pt>
                <c:pt idx="270">
                  <c:v>1617</c:v>
                </c:pt>
                <c:pt idx="271">
                  <c:v>6818</c:v>
                </c:pt>
                <c:pt idx="272">
                  <c:v>6657</c:v>
                </c:pt>
                <c:pt idx="273">
                  <c:v>2919</c:v>
                </c:pt>
                <c:pt idx="274">
                  <c:v>3094</c:v>
                </c:pt>
                <c:pt idx="275">
                  <c:v>2989</c:v>
                </c:pt>
                <c:pt idx="276">
                  <c:v>2268</c:v>
                </c:pt>
                <c:pt idx="277">
                  <c:v>4753</c:v>
                </c:pt>
                <c:pt idx="278">
                  <c:v>7511</c:v>
                </c:pt>
                <c:pt idx="279">
                  <c:v>4326</c:v>
                </c:pt>
                <c:pt idx="280">
                  <c:v>4935</c:v>
                </c:pt>
                <c:pt idx="281">
                  <c:v>4781</c:v>
                </c:pt>
                <c:pt idx="282">
                  <c:v>7483</c:v>
                </c:pt>
                <c:pt idx="283">
                  <c:v>6860</c:v>
                </c:pt>
                <c:pt idx="284">
                  <c:v>9002</c:v>
                </c:pt>
                <c:pt idx="285">
                  <c:v>1400</c:v>
                </c:pt>
                <c:pt idx="286">
                  <c:v>4053</c:v>
                </c:pt>
                <c:pt idx="287">
                  <c:v>2149</c:v>
                </c:pt>
                <c:pt idx="288">
                  <c:v>3640</c:v>
                </c:pt>
                <c:pt idx="289">
                  <c:v>630</c:v>
                </c:pt>
                <c:pt idx="290">
                  <c:v>2429</c:v>
                </c:pt>
                <c:pt idx="291">
                  <c:v>2142</c:v>
                </c:pt>
                <c:pt idx="292">
                  <c:v>6454</c:v>
                </c:pt>
                <c:pt idx="293">
                  <c:v>4487</c:v>
                </c:pt>
                <c:pt idx="294">
                  <c:v>938</c:v>
                </c:pt>
                <c:pt idx="295">
                  <c:v>8841</c:v>
                </c:pt>
                <c:pt idx="296">
                  <c:v>4018</c:v>
                </c:pt>
                <c:pt idx="297">
                  <c:v>714</c:v>
                </c:pt>
                <c:pt idx="298">
                  <c:v>3850</c:v>
                </c:pt>
              </c:numCache>
            </c:numRef>
          </c:xVal>
          <c:yVal>
            <c:numRef>
              <c:f>'anomaly detection'!$O$3:$O$301</c:f>
              <c:numCache>
                <c:formatCode>#,##0</c:formatCode>
                <c:ptCount val="299"/>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171</c:v>
                </c:pt>
                <c:pt idx="206">
                  <c:v>189</c:v>
                </c:pt>
                <c:pt idx="207">
                  <c:v>270</c:v>
                </c:pt>
                <c:pt idx="208">
                  <c:v>63</c:v>
                </c:pt>
                <c:pt idx="209">
                  <c:v>21</c:v>
                </c:pt>
                <c:pt idx="210">
                  <c:v>207</c:v>
                </c:pt>
                <c:pt idx="211">
                  <c:v>96</c:v>
                </c:pt>
                <c:pt idx="212">
                  <c:v>81</c:v>
                </c:pt>
                <c:pt idx="213">
                  <c:v>306</c:v>
                </c:pt>
                <c:pt idx="214">
                  <c:v>279</c:v>
                </c:pt>
                <c:pt idx="215">
                  <c:v>3</c:v>
                </c:pt>
                <c:pt idx="216">
                  <c:v>198</c:v>
                </c:pt>
                <c:pt idx="217">
                  <c:v>249</c:v>
                </c:pt>
                <c:pt idx="218">
                  <c:v>75</c:v>
                </c:pt>
                <c:pt idx="219">
                  <c:v>189</c:v>
                </c:pt>
                <c:pt idx="220">
                  <c:v>87</c:v>
                </c:pt>
                <c:pt idx="221">
                  <c:v>174</c:v>
                </c:pt>
                <c:pt idx="222">
                  <c:v>36</c:v>
                </c:pt>
                <c:pt idx="223">
                  <c:v>60</c:v>
                </c:pt>
                <c:pt idx="224">
                  <c:v>78</c:v>
                </c:pt>
                <c:pt idx="225">
                  <c:v>57</c:v>
                </c:pt>
                <c:pt idx="226">
                  <c:v>45</c:v>
                </c:pt>
                <c:pt idx="227">
                  <c:v>3</c:v>
                </c:pt>
                <c:pt idx="228">
                  <c:v>6</c:v>
                </c:pt>
                <c:pt idx="229">
                  <c:v>21</c:v>
                </c:pt>
                <c:pt idx="230">
                  <c:v>3</c:v>
                </c:pt>
                <c:pt idx="231">
                  <c:v>288</c:v>
                </c:pt>
                <c:pt idx="232">
                  <c:v>30</c:v>
                </c:pt>
                <c:pt idx="233">
                  <c:v>87</c:v>
                </c:pt>
                <c:pt idx="234">
                  <c:v>30</c:v>
                </c:pt>
                <c:pt idx="235">
                  <c:v>168</c:v>
                </c:pt>
                <c:pt idx="236">
                  <c:v>306</c:v>
                </c:pt>
                <c:pt idx="237">
                  <c:v>402</c:v>
                </c:pt>
                <c:pt idx="238">
                  <c:v>327</c:v>
                </c:pt>
                <c:pt idx="239">
                  <c:v>93</c:v>
                </c:pt>
                <c:pt idx="240">
                  <c:v>96</c:v>
                </c:pt>
                <c:pt idx="241">
                  <c:v>27</c:v>
                </c:pt>
                <c:pt idx="242">
                  <c:v>99</c:v>
                </c:pt>
                <c:pt idx="243">
                  <c:v>87</c:v>
                </c:pt>
                <c:pt idx="244">
                  <c:v>288</c:v>
                </c:pt>
                <c:pt idx="245">
                  <c:v>363</c:v>
                </c:pt>
                <c:pt idx="246">
                  <c:v>87</c:v>
                </c:pt>
                <c:pt idx="247">
                  <c:v>150</c:v>
                </c:pt>
                <c:pt idx="248">
                  <c:v>303</c:v>
                </c:pt>
                <c:pt idx="249">
                  <c:v>288</c:v>
                </c:pt>
                <c:pt idx="250">
                  <c:v>75</c:v>
                </c:pt>
                <c:pt idx="251">
                  <c:v>39</c:v>
                </c:pt>
                <c:pt idx="252">
                  <c:v>123</c:v>
                </c:pt>
                <c:pt idx="253">
                  <c:v>36</c:v>
                </c:pt>
                <c:pt idx="254">
                  <c:v>237</c:v>
                </c:pt>
                <c:pt idx="255">
                  <c:v>201</c:v>
                </c:pt>
                <c:pt idx="256">
                  <c:v>48</c:v>
                </c:pt>
                <c:pt idx="257">
                  <c:v>84</c:v>
                </c:pt>
                <c:pt idx="258">
                  <c:v>87</c:v>
                </c:pt>
                <c:pt idx="259">
                  <c:v>312</c:v>
                </c:pt>
                <c:pt idx="260">
                  <c:v>102</c:v>
                </c:pt>
                <c:pt idx="261">
                  <c:v>78</c:v>
                </c:pt>
                <c:pt idx="262">
                  <c:v>117</c:v>
                </c:pt>
                <c:pt idx="263">
                  <c:v>99</c:v>
                </c:pt>
                <c:pt idx="264">
                  <c:v>48</c:v>
                </c:pt>
                <c:pt idx="265">
                  <c:v>24</c:v>
                </c:pt>
                <c:pt idx="266">
                  <c:v>42</c:v>
                </c:pt>
                <c:pt idx="267">
                  <c:v>270</c:v>
                </c:pt>
                <c:pt idx="268">
                  <c:v>150</c:v>
                </c:pt>
                <c:pt idx="269">
                  <c:v>42</c:v>
                </c:pt>
                <c:pt idx="270">
                  <c:v>126</c:v>
                </c:pt>
                <c:pt idx="271">
                  <c:v>6</c:v>
                </c:pt>
                <c:pt idx="272">
                  <c:v>276</c:v>
                </c:pt>
                <c:pt idx="273">
                  <c:v>93</c:v>
                </c:pt>
                <c:pt idx="274">
                  <c:v>246</c:v>
                </c:pt>
                <c:pt idx="275">
                  <c:v>3</c:v>
                </c:pt>
                <c:pt idx="276">
                  <c:v>63</c:v>
                </c:pt>
                <c:pt idx="277">
                  <c:v>246</c:v>
                </c:pt>
                <c:pt idx="278">
                  <c:v>120</c:v>
                </c:pt>
                <c:pt idx="279">
                  <c:v>348</c:v>
                </c:pt>
                <c:pt idx="280">
                  <c:v>126</c:v>
                </c:pt>
                <c:pt idx="281">
                  <c:v>123</c:v>
                </c:pt>
                <c:pt idx="282">
                  <c:v>45</c:v>
                </c:pt>
                <c:pt idx="283">
                  <c:v>126</c:v>
                </c:pt>
                <c:pt idx="284">
                  <c:v>72</c:v>
                </c:pt>
                <c:pt idx="285">
                  <c:v>135</c:v>
                </c:pt>
                <c:pt idx="286">
                  <c:v>24</c:v>
                </c:pt>
                <c:pt idx="287">
                  <c:v>117</c:v>
                </c:pt>
                <c:pt idx="288">
                  <c:v>51</c:v>
                </c:pt>
                <c:pt idx="289">
                  <c:v>36</c:v>
                </c:pt>
                <c:pt idx="290">
                  <c:v>144</c:v>
                </c:pt>
                <c:pt idx="291">
                  <c:v>114</c:v>
                </c:pt>
                <c:pt idx="292">
                  <c:v>54</c:v>
                </c:pt>
                <c:pt idx="293">
                  <c:v>333</c:v>
                </c:pt>
                <c:pt idx="294">
                  <c:v>366</c:v>
                </c:pt>
                <c:pt idx="295">
                  <c:v>303</c:v>
                </c:pt>
                <c:pt idx="296">
                  <c:v>126</c:v>
                </c:pt>
                <c:pt idx="297">
                  <c:v>231</c:v>
                </c:pt>
                <c:pt idx="298">
                  <c:v>102</c:v>
                </c:pt>
              </c:numCache>
            </c:numRef>
          </c:yVal>
          <c:smooth val="0"/>
          <c:extLst>
            <c:ext xmlns:c16="http://schemas.microsoft.com/office/drawing/2014/chart" uri="{C3380CC4-5D6E-409C-BE32-E72D297353CC}">
              <c16:uniqueId val="{00000000-1B39-944B-B60E-7DCCB7496800}"/>
            </c:ext>
          </c:extLst>
        </c:ser>
        <c:dLbls>
          <c:showLegendKey val="0"/>
          <c:showVal val="0"/>
          <c:showCatName val="0"/>
          <c:showSerName val="0"/>
          <c:showPercent val="0"/>
          <c:showBubbleSize val="0"/>
        </c:dLbls>
        <c:axId val="1730556863"/>
        <c:axId val="1732532239"/>
      </c:scatterChart>
      <c:valAx>
        <c:axId val="17305568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532239"/>
        <c:crosses val="autoZero"/>
        <c:crossBetween val="midCat"/>
      </c:valAx>
      <c:valAx>
        <c:axId val="17325322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5686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0F58B5B8-3FC3-314B-A6F2-67290D6E4081}">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0</xdr:rowOff>
    </xdr:from>
    <xdr:to>
      <xdr:col>2</xdr:col>
      <xdr:colOff>1143000</xdr:colOff>
      <xdr:row>6</xdr:row>
      <xdr:rowOff>117084</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472440</xdr:colOff>
      <xdr:row>11</xdr:row>
      <xdr:rowOff>38099</xdr:rowOff>
    </xdr:from>
    <xdr:to>
      <xdr:col>8</xdr:col>
      <xdr:colOff>660400</xdr:colOff>
      <xdr:row>20</xdr:row>
      <xdr:rowOff>76200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47182E7A-F86B-2DD7-DFD2-BE5C274689CC}"/>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523740" y="2666999"/>
              <a:ext cx="3489960" cy="2286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3</xdr:row>
      <xdr:rowOff>152400</xdr:rowOff>
    </xdr:from>
    <xdr:to>
      <xdr:col>8</xdr:col>
      <xdr:colOff>12700</xdr:colOff>
      <xdr:row>19</xdr:row>
      <xdr:rowOff>139700</xdr:rowOff>
    </xdr:to>
    <xdr:graphicFrame macro="">
      <xdr:nvGraphicFramePr>
        <xdr:cNvPr id="2" name="Chart 1">
          <a:extLst>
            <a:ext uri="{FF2B5EF4-FFF2-40B4-BE49-F238E27FC236}">
              <a16:creationId xmlns:a16="http://schemas.microsoft.com/office/drawing/2014/main" id="{4A9BF368-8A97-BAAE-1336-699779915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6350</xdr:colOff>
      <xdr:row>24</xdr:row>
      <xdr:rowOff>19050</xdr:rowOff>
    </xdr:from>
    <xdr:to>
      <xdr:col>7</xdr:col>
      <xdr:colOff>1828800</xdr:colOff>
      <xdr:row>43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96F1CC0-C19B-8B4C-EC19-A49EEAA563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31850" y="4552950"/>
              <a:ext cx="6775450" cy="3752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165100</xdr:colOff>
      <xdr:row>0</xdr:row>
      <xdr:rowOff>12701</xdr:rowOff>
    </xdr:from>
    <xdr:to>
      <xdr:col>4</xdr:col>
      <xdr:colOff>101600</xdr:colOff>
      <xdr:row>7</xdr:row>
      <xdr:rowOff>25401</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ABC1F565-D22C-8754-7F5D-06CBB4828B8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454400" y="12701"/>
              <a:ext cx="15875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 refreshedDate="45041.640792245373" createdVersion="8" refreshedVersion="8" minRefreshableVersion="3" recordCount="299" xr:uid="{16C9B17F-AA27-FB4C-9C95-0905D40E88A3}">
  <cacheSource type="worksheet">
    <worksheetSource name="data"/>
  </cacheSource>
  <cacheFields count="6">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ount="267">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3" maxValue="525" count="119">
        <n v="114"/>
        <n v="459"/>
        <n v="147"/>
        <n v="288"/>
        <n v="414"/>
        <n v="432"/>
        <n v="54"/>
        <n v="210"/>
        <n v="75"/>
        <n v="12"/>
        <n v="462"/>
        <n v="144"/>
        <n v="120"/>
        <n v="234"/>
        <n v="66"/>
        <n v="87"/>
        <n v="339"/>
        <n v="162"/>
        <n v="90"/>
        <n v="141"/>
        <n v="204"/>
        <n v="186"/>
        <n v="231"/>
        <n v="168"/>
        <n v="195"/>
        <n v="15"/>
        <n v="30"/>
        <n v="102"/>
        <n v="183"/>
        <n v="72"/>
        <n v="282"/>
        <n v="405"/>
        <n v="135"/>
        <n v="21"/>
        <n v="153"/>
        <n v="255"/>
        <n v="18"/>
        <n v="189"/>
        <n v="36"/>
        <n v="156"/>
        <n v="39"/>
        <n v="63"/>
        <n v="69"/>
        <n v="504"/>
        <n v="273"/>
        <n v="48"/>
        <n v="207"/>
        <n v="9"/>
        <n v="261"/>
        <n v="6"/>
        <n v="138"/>
        <n v="111"/>
        <n v="525"/>
        <n v="150"/>
        <n v="492"/>
        <n v="165"/>
        <n v="309"/>
        <n v="159"/>
        <n v="201"/>
        <n v="51"/>
        <n v="279"/>
        <n v="123"/>
        <n v="81"/>
        <n v="228"/>
        <n v="342"/>
        <n v="216"/>
        <n v="93"/>
        <n v="312"/>
        <n v="300"/>
        <n v="519"/>
        <n v="96"/>
        <n v="192"/>
        <n v="225"/>
        <n v="456"/>
        <n v="252"/>
        <n v="240"/>
        <n v="129"/>
        <n v="303"/>
        <n v="246"/>
        <n v="84"/>
        <n v="348"/>
        <n v="258"/>
        <n v="27"/>
        <n v="213"/>
        <n v="357"/>
        <n v="174"/>
        <n v="510"/>
        <n v="378"/>
        <n v="117"/>
        <n v="126"/>
        <n v="42"/>
        <n v="366"/>
        <n v="324"/>
        <n v="243"/>
        <n v="447"/>
        <n v="297"/>
        <n v="177"/>
        <n v="306"/>
        <n v="219"/>
        <n v="171"/>
        <n v="276"/>
        <n v="45"/>
        <n v="369"/>
        <n v="372"/>
        <n v="105"/>
        <n v="270"/>
        <n v="3"/>
        <n v="198"/>
        <n v="249"/>
        <n v="60"/>
        <n v="78"/>
        <n v="57"/>
        <n v="402"/>
        <n v="327"/>
        <n v="99"/>
        <n v="363"/>
        <n v="237"/>
        <n v="24"/>
        <n v="333"/>
      </sharedItems>
    </cacheField>
    <cacheField name="$ per unit" numFmtId="6">
      <sharedItems containsSemiMixedTypes="0" containsString="0" containsNumber="1" minValue="0" maxValue="2037" count="299">
        <n v="14.245614035087719"/>
        <n v="14.610021786492375"/>
        <n v="6.5238095238095237"/>
        <n v="33.444444444444443"/>
        <n v="5.0724637681159424"/>
        <n v="20.530092592592592"/>
        <n v="49.648148148148145"/>
        <n v="23.866666666666667"/>
        <n v="17.079999999999998"/>
        <n v="415.91666666666669"/>
        <n v="3.8636363636363638"/>
        <n v="27.659722222222221"/>
        <n v="22.05"/>
        <n v="4.666666666666667"/>
        <n v="10.52991452991453"/>
        <n v="32.030303030303031"/>
        <n v="88.425287356321846"/>
        <n v="46.047197640117993"/>
        <n v="2.3333333333333335"/>
        <n v="58.290123456790127"/>
        <n v="90.611111111111114"/>
        <n v="7.2692307692307692"/>
        <n v="15.638297872340425"/>
        <n v="8.6813725490196081"/>
        <n v="11.365591397849462"/>
        <n v="44.636363636363633"/>
        <n v="0.125"/>
        <n v="10.123076923076923"/>
        <n v="420.93333333333334"/>
        <n v="156.1"/>
        <n v="62.725490196078432"/>
        <n v="36.866666666666667"/>
        <n v="38.366120218579233"/>
        <n v="484.75"/>
        <n v="55.222222222222221"/>
        <n v="4.0212765957446805"/>
        <n v="41.854166666666664"/>
        <n v="4.7012345679012348"/>
        <n v="43.493333333333332"/>
        <n v="16.955555555555556"/>
        <n v="332.66666666666669"/>
        <n v="28.869281045751634"/>
        <n v="96.13333333333334"/>
        <n v="9.4705882352941178"/>
        <n v="13.222222222222221"/>
        <n v="26.185185185185187"/>
        <n v="241.66666666666666"/>
        <n v="255.5"/>
        <n v="44.52"/>
        <n v="32.17307692307692"/>
        <n v="414.97435897435895"/>
        <n v="7.8888888888888893"/>
        <n v="109.48"/>
        <n v="35.956284153005463"/>
        <n v="68.985507246376812"/>
        <n v="181.3"/>
        <n v="37.512820512820511"/>
        <n v="15.430555555555555"/>
        <n v="3.9743589743589745"/>
        <n v="3.7916666666666665"/>
        <n v="20.492753623188406"/>
        <n v="679.77777777777783"/>
        <n v="8.8773946360153264"/>
        <n v="156.33333333333334"/>
        <n v="323.63333333333333"/>
        <n v="15.978260869565217"/>
        <n v="40.423423423423422"/>
        <n v="161"/>
        <n v="24.802469135802468"/>
        <n v="4.4153846153846157"/>
        <n v="10.64"/>
        <n v="46.375"/>
        <n v="95.526666666666671"/>
        <n v="17.201219512195124"/>
        <n v="28.343137254901961"/>
        <n v="22.866666666666667"/>
        <n v="2.7637540453074432"/>
        <n v="31.858974358974358"/>
        <n v="0.61635220125786161"/>
        <n v="66.621890547263675"/>
        <n v="42.333333333333336"/>
        <n v="1.0980392156862746"/>
        <n v="85.615384615384613"/>
        <n v="13.648745519713261"/>
        <n v="0.51219512195121952"/>
        <n v="96.444444444444443"/>
        <n v="366.33333333333331"/>
        <n v="6.0061728395061724"/>
        <n v="2.486842105263158"/>
        <n v="7.2251461988304095"/>
        <n v="133.12962962962962"/>
        <n v="34.513888888888886"/>
        <n v="57.555555555555557"/>
        <n v="6.253333333333333"/>
        <n v="29.43010752688172"/>
        <n v="27.596153846153847"/>
        <n v="267.55555555555554"/>
        <n v="71.166666666666671"/>
        <n v="52.769230769230766"/>
        <n v="11.823717948717949"/>
        <n v="9.5666666666666664"/>
        <n v="1.5375722543352601"/>
        <n v="325.88888888888891"/>
        <n v="304.88888888888891"/>
        <n v="108.57777777777778"/>
        <n v="16.333333333333332"/>
        <n v="543.66666666666663"/>
        <n v="140.58333333333334"/>
        <n v="19.541666666666668"/>
        <n v="12.041666666666666"/>
        <n v="102.66666666666667"/>
        <n v="10.026041666666666"/>
        <n v="29.36888888888889"/>
        <n v="17.561403508771932"/>
        <n v="15.35483870967742"/>
        <n v="10.9375"/>
        <n v="14.754901960784315"/>
        <n v="26.805555555555557"/>
        <n v="83.847826086956516"/>
        <n v="28.233333333333334"/>
        <n v="6.3583333333333334"/>
        <n v="60.049019607843135"/>
        <n v="6.5658914728682172"/>
        <n v="15.843333333333334"/>
        <n v="7.1037037037037036"/>
        <n v="24.5"/>
        <n v="73.111111111111114"/>
        <n v="22.027777777777779"/>
        <n v="21.970297029702969"/>
        <n v="18.040650406504064"/>
        <n v="2"/>
        <n v="199.41025641025641"/>
        <n v="9.5948275862068968"/>
        <n v="133.14583333333334"/>
        <n v="6.9066666666666663"/>
        <n v="22.003875968992247"/>
        <n v="224"/>
        <n v="17.615023474178404"/>
        <n v="12.549019607843137"/>
        <n v="1.251207729468599"/>
        <n v="0.28000000000000003"/>
        <n v="0.48039215686274511"/>
        <n v="118"/>
        <n v="45.097701149425291"/>
        <n v="49.383084577114431"/>
        <n v="1.6058823529411765"/>
        <n v="8.0740740740740744"/>
        <n v="253.03703703703704"/>
        <n v="17.23076923076923"/>
        <n v="203.38888888888889"/>
        <n v="2.8333333333333335"/>
        <n v="44.333333333333336"/>
        <n v="200.83333333333334"/>
        <n v="0"/>
        <n v="46.888888888888886"/>
        <n v="7.7472766884531588"/>
        <n v="36.218905472636813"/>
        <n v="9.2950819672131146"/>
        <n v="14.17283950617284"/>
        <n v="32.23456790123457"/>
        <n v="35.920187793427232"/>
        <n v="5.089485458612975"/>
        <n v="19.09090909090909"/>
        <n v="79.074074074074076"/>
        <n v="37.053333333333335"/>
        <n v="431.66666666666669"/>
        <n v="14.949152542372881"/>
        <n v="23.861635220125788"/>
        <n v="2.6764705882352939"/>
        <n v="143.5"/>
        <n v="19.104166666666668"/>
        <n v="17.763440860215052"/>
        <n v="554.55555555555554"/>
        <n v="9.173515981735159"/>
        <n v="11.120567375886525"/>
        <n v="27.54471544715447"/>
        <n v="12.215686274509803"/>
        <n v="83.941666666666663"/>
        <n v="57.814814814814817"/>
        <n v="56.480392156862742"/>
        <n v="18.837398373983739"/>
        <n v="113.29629629629629"/>
        <n v="13.129943502824858"/>
        <n v="28.982456140350877"/>
        <n v="26.25"/>
        <n v="26.30072463768116"/>
        <n v="139.53333333333333"/>
        <n v="56.466666666666669"/>
        <n v="21.83050847457627"/>
        <n v="97.555555555555557"/>
        <n v="12.936274509803921"/>
        <n v="9.6923076923076916"/>
        <n v="5.2357723577235769"/>
        <n v="150"/>
        <n v="6.9135802469135799"/>
        <n v="11.609756097560975"/>
        <n v="4.0632183908045976"/>
        <n v="44.419753086419753"/>
        <n v="18.422043010752688"/>
        <n v="27.155172413793103"/>
        <n v="122.66666666666667"/>
        <n v="5.6622222222222218"/>
        <n v="14.533333333333333"/>
        <n v="13.782222222222222"/>
        <n v="19.574074074074073"/>
        <n v="23.497076023391813"/>
        <n v="4.9629629629629628"/>
        <n v="6.5851851851851855"/>
        <n v="26"/>
        <n v="7.333333333333333"/>
        <n v="47.512077294685987"/>
        <n v="75.760416666666671"/>
        <n v="85.296296296296291"/>
        <n v="12.81045751633987"/>
        <n v="17.412186379928315"/>
        <n v="1183"/>
        <n v="4.8787878787878789"/>
        <n v="1.5461847389558232"/>
        <n v="29.586666666666666"/>
        <n v="15.62962962962963"/>
        <n v="3.2183908045977012"/>
        <n v="35.160919540229884"/>
        <n v="133.38888888888889"/>
        <n v="68.95"/>
        <n v="25.935897435897434"/>
        <n v="158.78947368421052"/>
        <n v="64.86666666666666"/>
        <n v="1971.6666666666667"/>
        <n v="427"/>
        <n v="419.66666666666669"/>
        <n v="2037"/>
        <n v="12.177083333333334"/>
        <n v="143.96666666666667"/>
        <n v="7"/>
        <n v="212.33333333333334"/>
        <n v="32.583333333333336"/>
        <n v="10.339869281045752"/>
        <n v="3.2388059701492535"/>
        <n v="22.348623853211009"/>
        <n v="65.935483870967744"/>
        <n v="36.166666666666664"/>
        <n v="357.77777777777777"/>
        <n v="24.606060606060606"/>
        <n v="109.26436781609195"/>
        <n v="0.85069444444444442"/>
        <n v="7.443526170798898"/>
        <n v="8.0459770114942533"/>
        <n v="25.06"/>
        <n v="5.2442244224422438"/>
        <n v="18.034722222222221"/>
        <n v="12.6"/>
        <n v="50.974358974358971"/>
        <n v="54.747967479674799"/>
        <n v="6.0277777777777777"/>
        <n v="26.49367088607595"/>
        <n v="22.009950248756219"/>
        <n v="3.9375"/>
        <n v="5.833333333333333"/>
        <n v="4.9885057471264371"/>
        <n v="32.464743589743591"/>
        <n v="16.196078431372548"/>
        <n v="82.474358974358978"/>
        <n v="18.905982905982906"/>
        <n v="6.1515151515151514"/>
        <n v="34.125"/>
        <n v="159.54166666666666"/>
        <n v="137.5"/>
        <n v="3.9666666666666668"/>
        <n v="33.46"/>
        <n v="68.166666666666671"/>
        <n v="12.833333333333334"/>
        <n v="1136.3333333333333"/>
        <n v="24.119565217391305"/>
        <n v="31.387096774193548"/>
        <n v="12.577235772357724"/>
        <n v="996.33333333333337"/>
        <n v="36"/>
        <n v="19.321138211382113"/>
        <n v="62.591666666666669"/>
        <n v="12.431034482758621"/>
        <n v="39.166666666666664"/>
        <n v="38.869918699186989"/>
        <n v="166.28888888888889"/>
        <n v="54.444444444444443"/>
        <n v="125.02777777777777"/>
        <n v="10.37037037037037"/>
        <n v="168.875"/>
        <n v="18.367521367521366"/>
        <n v="71.372549019607845"/>
        <n v="17.5"/>
        <n v="16.868055555555557"/>
        <n v="18.789473684210527"/>
        <n v="119.51851851851852"/>
        <n v="13.474474474474475"/>
        <n v="2.5628415300546448"/>
        <n v="29.178217821782177"/>
        <n v="31.888888888888889"/>
        <n v="3.0909090909090908"/>
        <n v="37.745098039215684"/>
      </sharedItems>
    </cacheField>
  </cacheFields>
  <extLst>
    <ext xmlns:x14="http://schemas.microsoft.com/office/spreadsheetml/2009/9/main" uri="{725AE2AE-9491-48be-B2B4-4EB974FC3084}">
      <x14:pivotCacheDefinition pivotCacheId="16260626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o" refreshedDate="45041.701365624998" createdVersion="8" refreshedVersion="8" minRefreshableVersion="3" recordCount="299" xr:uid="{728B1771-31DA-1B41-A261-31F1D8A5228D}">
  <cacheSource type="worksheet">
    <worksheetSource name="Data5"/>
  </cacheSource>
  <cacheFields count="8">
    <cacheField name="Sales Person" numFmtId="0">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ount="267">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3" maxValue="525" count="119">
        <n v="114"/>
        <n v="459"/>
        <n v="147"/>
        <n v="288"/>
        <n v="414"/>
        <n v="432"/>
        <n v="54"/>
        <n v="210"/>
        <n v="75"/>
        <n v="12"/>
        <n v="462"/>
        <n v="144"/>
        <n v="120"/>
        <n v="234"/>
        <n v="66"/>
        <n v="87"/>
        <n v="339"/>
        <n v="162"/>
        <n v="90"/>
        <n v="141"/>
        <n v="204"/>
        <n v="186"/>
        <n v="231"/>
        <n v="168"/>
        <n v="195"/>
        <n v="15"/>
        <n v="30"/>
        <n v="102"/>
        <n v="183"/>
        <n v="72"/>
        <n v="282"/>
        <n v="405"/>
        <n v="135"/>
        <n v="21"/>
        <n v="153"/>
        <n v="255"/>
        <n v="18"/>
        <n v="189"/>
        <n v="36"/>
        <n v="156"/>
        <n v="39"/>
        <n v="63"/>
        <n v="69"/>
        <n v="504"/>
        <n v="273"/>
        <n v="48"/>
        <n v="207"/>
        <n v="9"/>
        <n v="261"/>
        <n v="6"/>
        <n v="138"/>
        <n v="111"/>
        <n v="525"/>
        <n v="150"/>
        <n v="492"/>
        <n v="165"/>
        <n v="309"/>
        <n v="159"/>
        <n v="201"/>
        <n v="51"/>
        <n v="279"/>
        <n v="123"/>
        <n v="81"/>
        <n v="228"/>
        <n v="342"/>
        <n v="216"/>
        <n v="93"/>
        <n v="312"/>
        <n v="300"/>
        <n v="519"/>
        <n v="96"/>
        <n v="192"/>
        <n v="225"/>
        <n v="456"/>
        <n v="252"/>
        <n v="240"/>
        <n v="129"/>
        <n v="303"/>
        <n v="246"/>
        <n v="84"/>
        <n v="348"/>
        <n v="258"/>
        <n v="27"/>
        <n v="213"/>
        <n v="357"/>
        <n v="174"/>
        <n v="510"/>
        <n v="378"/>
        <n v="117"/>
        <n v="126"/>
        <n v="42"/>
        <n v="366"/>
        <n v="324"/>
        <n v="243"/>
        <n v="447"/>
        <n v="297"/>
        <n v="177"/>
        <n v="306"/>
        <n v="219"/>
        <n v="171"/>
        <n v="276"/>
        <n v="45"/>
        <n v="369"/>
        <n v="372"/>
        <n v="105"/>
        <n v="270"/>
        <n v="3"/>
        <n v="198"/>
        <n v="249"/>
        <n v="60"/>
        <n v="78"/>
        <n v="57"/>
        <n v="402"/>
        <n v="327"/>
        <n v="99"/>
        <n v="363"/>
        <n v="237"/>
        <n v="24"/>
        <n v="333"/>
      </sharedItems>
    </cacheField>
    <cacheField name="Cost per unit" numFmtId="6">
      <sharedItems containsSemiMixedTypes="0" containsString="0" containsNumber="1" minValue="3.11" maxValue="16.73"/>
    </cacheField>
    <cacheField name="Total Cost" numFmtId="6">
      <sharedItems containsSemiMixedTypes="0" containsString="0" containsNumber="1" minValue="14.91" maxValue="8682.8700000000008"/>
    </cacheField>
    <cacheField name="Profit" numFmtId="6">
      <sharedItems containsSemiMixedTypes="0" containsString="0" containsNumber="1" minValue="-7884.8700000000008" maxValue="15841.19" count="299">
        <n v="-27.860000000000127"/>
        <n v="2735.6499999999996"/>
        <n v="-787.36000000000013"/>
        <n v="7768.64"/>
        <n v="-3344.1000000000004"/>
        <n v="3525.1600000000008"/>
        <n v="2368.34"/>
        <n v="2960.3"/>
        <n v="403.5"/>
        <n v="4850.6000000000004"/>
        <n v="-4290.3"/>
        <n v="3535.16"/>
        <n v="1591.2"/>
        <n v="-251.82"/>
        <n v="-613.09999999999991"/>
        <n v="1641.44"/>
        <n v="7189.27"/>
        <n v="12009.82"/>
        <n v="-1070.8799999999999"/>
        <n v="7722.56"/>
        <n v="7570.9"/>
        <n v="182.33999999999992"/>
        <n v="827.43000000000006"/>
        <n v="212.44000000000005"/>
        <n v="-67.7800000000002"/>
        <n v="8155.77"/>
        <n v="-1455.7199999999998"/>
        <n v="-96.899999999999636"/>
        <n v="6216.65"/>
        <n v="4488.3"/>
        <n v="5891.06"/>
        <n v="438.4"/>
        <n v="4369.33"/>
        <n v="5699.76"/>
        <n v="3133.6"/>
        <n v="-3583.8599999999997"/>
        <n v="4532.28"/>
        <n v="-1655.9499999999998"/>
        <n v="2613.25"/>
        <n v="30.449999999999818"/>
        <n v="6634.67"/>
        <n v="3424.0299999999997"/>
        <n v="1266.05"/>
        <n v="-568.5"/>
        <n v="100.48000000000002"/>
        <n v="3722.39"/>
        <n v="4893.3500000000004"/>
        <n v="8881.56"/>
        <n v="2802"/>
        <n v="4533.84"/>
        <n v="15841.19"/>
        <n v="-70"/>
        <n v="7674"/>
        <n v="4680.46"/>
        <n v="4116.2299999999996"/>
        <n v="5044.5"/>
        <n v="1341.71"/>
        <n v="3417.3999999999996"/>
        <n v="-869.68000000000006"/>
        <n v="-95.920000000000016"/>
        <n v="778.88999999999987"/>
        <n v="6040.15"/>
        <n v="623.1099999999999"/>
        <n v="885.26"/>
        <n v="9357.1"/>
        <n v="739.44"/>
        <n v="4141.79"/>
        <n v="2317.9499999999998"/>
        <n v="2780.32"/>
        <n v="-628.79999999999995"/>
        <n v="-556.5"/>
        <n v="1632.24"/>
        <n v="12772"/>
        <n v="3237.96"/>
        <n v="2160.6799999999998"/>
        <n v="2702.1499999999996"/>
        <n v="-2353.42"/>
        <n v="4484.84"/>
        <n v="-792.4"/>
        <n v="11033.27"/>
        <n v="7674.1"/>
        <n v="-419.83"/>
        <n v="2826.15"/>
        <n v="2002.8700000000001"/>
        <n v="-1084.5899999999999"/>
        <n v="6456.87"/>
        <n v="7532.56"/>
        <n v="-708.56000000000017"/>
        <n v="-1485"/>
        <n v="22.279999999999745"/>
        <n v="6685.18"/>
        <n v="5212.92"/>
        <n v="2805.6"/>
        <n v="-517.25"/>
        <n v="2133.4299999999998"/>
        <n v="2253.6"/>
        <n v="2380.0100000000002"/>
        <n v="1143.48"/>
        <n v="10323.9"/>
        <n v="450.4399999999996"/>
        <n v="578"/>
        <n v="-7884.8700000000008"/>
        <n v="2852"/>
        <n v="2637.08"/>
        <n v="8658.7000000000007"/>
        <n v="305.59999999999991"/>
        <n v="11232.41"/>
        <n v="6479.2"/>
        <n v="202.44000000000005"/>
        <n v="820.11999999999989"/>
        <n v="4950.3999999999996"/>
        <n v="458.12000000000012"/>
        <n v="3975.5"/>
        <n v="5454.4"/>
        <n v="205.04999999999995"/>
        <n v="-45.240000000000009"/>
        <n v="845.06000000000006"/>
        <n v="3103.52"/>
        <n v="10678.14"/>
        <n v="1357.5"/>
        <n v="-1951.6"/>
        <n v="4913.24"/>
        <n v="-1311.17"/>
        <n v="-266"/>
        <n v="-710.94999999999982"/>
        <n v="2226.42"/>
        <n v="3868.9"/>
        <n v="3746.6800000000003"/>
        <n v="4036.0499999999997"/>
        <n v="3672.94"/>
        <n v="-652.67999999999995"/>
        <n v="7655.71"/>
        <n v="2256.7200000000003"/>
        <n v="5797.24"/>
        <n v="-214.75"/>
        <n v="2998.9599999999996"/>
        <n v="5964.03"/>
        <n v="1909.55"/>
        <n v="1923.88"/>
        <n v="-2200.1600000000003"/>
        <n v="-2131.5"/>
        <n v="-1044.3999999999999"/>
        <n v="2126.67"/>
        <n v="5694.6200000000008"/>
        <n v="9300.89"/>
        <n v="-3939.3"/>
        <n v="345.52"/>
        <n v="6589"/>
        <n v="987.57000000000016"/>
        <n v="6998"/>
        <n v="-1201.6199999999999"/>
        <n v="2245.1999999999998"/>
        <n v="8024.66"/>
        <n v="-966.6"/>
        <n v="7922.67"/>
        <n v="-1208.42"/>
        <n v="4922.2700000000004"/>
        <n v="-1901.3400000000001"/>
        <n v="2272.16"/>
        <n v="4982.6099999999997"/>
        <n v="5734"/>
        <n v="-4202.03"/>
        <n v="2898.99"/>
        <n v="1897.67"/>
        <n v="2292.25"/>
        <n v="12578.9"/>
        <n v="1500.81"/>
        <n v="1827.17"/>
        <n v="-2966.22"/>
        <n v="2391.84"/>
        <n v="2751.4"/>
        <n v="501.59000000000015"/>
        <n v="4940.6000000000004"/>
        <n v="83.990000000000236"/>
        <n v="190.43000000000006"/>
        <n v="2081.7399999999998"/>
        <n v="369.53"/>
        <n v="8647.4"/>
        <n v="1409.8"/>
        <n v="8109.08"/>
        <n v="1169.4100000000001"/>
        <n v="2778.74"/>
        <n v="1332.8000000000002"/>
        <n v="3998.4"/>
        <n v="3796.44"/>
        <n v="4029.8"/>
        <n v="6027"/>
        <n v="2218.8000000000002"/>
        <n v="902.79"/>
        <n v="5558.21"/>
        <n v="1319.1200000000001"/>
        <n v="-15.149999999999864"/>
        <n v="-2385.3000000000002"/>
        <n v="5747.7"/>
        <n v="-613.69000000000005"/>
        <n v="1478.4"/>
        <n v="165.86"/>
        <n v="2424.31"/>
        <n v="3218.56"/>
        <n v="3195.54"/>
        <n v="9577.4"/>
        <n v="-703.74999999999977"/>
        <n v="4.5499999999999545"/>
        <n v="765.5"/>
        <n v="425.20000000000005"/>
        <n v="3168.13"/>
        <n v="-723.31"/>
        <n v="31.100000000000136"/>
        <n v="725.13"/>
        <n v="-122.15000000000003"/>
        <n v="7812.6100000000006"/>
        <n v="6253.48"/>
        <n v="6117.63"/>
        <n v="2399.1800000000003"/>
        <n v="2347"/>
        <n v="3513.36"/>
        <n v="-2346.54"/>
        <n v="-1226.03"/>
        <n v="1559.75"/>
        <n v="1319.1499999999999"/>
        <n v="-472.55000000000007"/>
        <n v="3596.74"/>
        <n v="4379.72"/>
        <n v="3838.8"/>
        <n v="1516.78"/>
        <n v="8225.07"/>
        <n v="2451.9"/>
        <n v="5885.69"/>
        <n v="2491.62"/>
        <n v="8536.85"/>
        <n v="6091.59"/>
        <n v="1839.48"/>
        <n v="4039.1"/>
        <n v="121.80000000000001"/>
        <n v="5868.1"/>
        <n v="4190.4799999999996"/>
        <n v="-1955.38"/>
        <n v="-3473.76"/>
        <n v="3913.74"/>
        <n v="4576.1099999999997"/>
        <n v="2348.8000000000002"/>
        <n v="9485.31"/>
        <n v="1881.6"/>
        <n v="8429.81"/>
        <n v="-2347"/>
        <n v="-1153.0599999999995"/>
        <n v="429.43"/>
        <n v="3292.5"/>
        <n v="646.67000000000007"/>
        <n v="2204.56"/>
        <n v="245.25"/>
        <n v="1762.19"/>
        <n v="5670.05"/>
        <n v="-210.68"/>
        <n v="3963.51"/>
        <n v="2548.67"/>
        <n v="39.72"/>
        <n v="-330.67999999999995"/>
        <n v="-349"/>
        <n v="5608.12"/>
        <n v="593.24"/>
        <n v="5731"/>
        <n v="1452.67"/>
        <n v="-147.36000000000001"/>
        <n v="1399.44"/>
        <n v="3547.48"/>
        <n v="5282.34"/>
        <n v="-1796.3999999999996"/>
        <n v="4045.5"/>
        <n v="2370.34"/>
        <n v="714.84"/>
        <n v="6784.4"/>
        <n v="3419.52"/>
        <n v="2629.77"/>
        <n v="1669.66"/>
        <n v="2974.09"/>
        <n v="1214.01"/>
        <n v="3328.66"/>
        <n v="6594.2"/>
        <n v="2311.08"/>
        <n v="4117.26"/>
        <n v="2998.73"/>
        <n v="6891.25"/>
        <n v="5363.12"/>
        <n v="8486.48"/>
        <n v="433.4"/>
        <n v="3818.52"/>
        <n v="1471.5700000000002"/>
        <n v="3274.84"/>
        <n v="396.36"/>
        <n v="19.880000000000109"/>
        <n v="642.89999999999986"/>
        <n v="5671.54"/>
        <n v="1559.9300000000003"/>
        <n v="-3410.08"/>
        <n v="7144.2"/>
        <n v="2459.38"/>
        <n v="-1995.63"/>
        <n v="2508.6999999999998"/>
      </sharedItems>
    </cacheField>
  </cacheFields>
  <extLst>
    <ext xmlns:x14="http://schemas.microsoft.com/office/spreadsheetml/2009/9/main" uri="{725AE2AE-9491-48be-B2B4-4EB974FC3084}">
      <x14:pivotCacheDefinition pivotCacheId="1610257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x v="0"/>
    <x v="0"/>
    <x v="0"/>
    <x v="0"/>
    <x v="0"/>
    <x v="0"/>
  </r>
  <r>
    <x v="1"/>
    <x v="1"/>
    <x v="1"/>
    <x v="1"/>
    <x v="1"/>
    <x v="1"/>
  </r>
  <r>
    <x v="2"/>
    <x v="1"/>
    <x v="2"/>
    <x v="2"/>
    <x v="2"/>
    <x v="2"/>
  </r>
  <r>
    <x v="3"/>
    <x v="2"/>
    <x v="3"/>
    <x v="3"/>
    <x v="3"/>
    <x v="3"/>
  </r>
  <r>
    <x v="4"/>
    <x v="3"/>
    <x v="4"/>
    <x v="4"/>
    <x v="4"/>
    <x v="4"/>
  </r>
  <r>
    <x v="0"/>
    <x v="1"/>
    <x v="5"/>
    <x v="5"/>
    <x v="5"/>
    <x v="5"/>
  </r>
  <r>
    <x v="4"/>
    <x v="4"/>
    <x v="6"/>
    <x v="6"/>
    <x v="6"/>
    <x v="6"/>
  </r>
  <r>
    <x v="1"/>
    <x v="1"/>
    <x v="7"/>
    <x v="7"/>
    <x v="7"/>
    <x v="7"/>
  </r>
  <r>
    <x v="5"/>
    <x v="4"/>
    <x v="8"/>
    <x v="8"/>
    <x v="8"/>
    <x v="8"/>
  </r>
  <r>
    <x v="6"/>
    <x v="0"/>
    <x v="8"/>
    <x v="9"/>
    <x v="9"/>
    <x v="9"/>
  </r>
  <r>
    <x v="7"/>
    <x v="3"/>
    <x v="4"/>
    <x v="10"/>
    <x v="10"/>
    <x v="10"/>
  </r>
  <r>
    <x v="8"/>
    <x v="0"/>
    <x v="9"/>
    <x v="11"/>
    <x v="11"/>
    <x v="11"/>
  </r>
  <r>
    <x v="2"/>
    <x v="4"/>
    <x v="10"/>
    <x v="12"/>
    <x v="12"/>
    <x v="12"/>
  </r>
  <r>
    <x v="7"/>
    <x v="5"/>
    <x v="11"/>
    <x v="13"/>
    <x v="6"/>
    <x v="13"/>
  </r>
  <r>
    <x v="8"/>
    <x v="1"/>
    <x v="4"/>
    <x v="14"/>
    <x v="13"/>
    <x v="14"/>
  </r>
  <r>
    <x v="8"/>
    <x v="1"/>
    <x v="12"/>
    <x v="15"/>
    <x v="14"/>
    <x v="15"/>
  </r>
  <r>
    <x v="4"/>
    <x v="0"/>
    <x v="6"/>
    <x v="16"/>
    <x v="15"/>
    <x v="16"/>
  </r>
  <r>
    <x v="6"/>
    <x v="5"/>
    <x v="13"/>
    <x v="17"/>
    <x v="16"/>
    <x v="17"/>
  </r>
  <r>
    <x v="3"/>
    <x v="5"/>
    <x v="7"/>
    <x v="18"/>
    <x v="11"/>
    <x v="18"/>
  </r>
  <r>
    <x v="7"/>
    <x v="3"/>
    <x v="13"/>
    <x v="19"/>
    <x v="17"/>
    <x v="19"/>
  </r>
  <r>
    <x v="2"/>
    <x v="5"/>
    <x v="14"/>
    <x v="20"/>
    <x v="18"/>
    <x v="20"/>
  </r>
  <r>
    <x v="1"/>
    <x v="4"/>
    <x v="14"/>
    <x v="21"/>
    <x v="13"/>
    <x v="21"/>
  </r>
  <r>
    <x v="9"/>
    <x v="4"/>
    <x v="7"/>
    <x v="22"/>
    <x v="19"/>
    <x v="22"/>
  </r>
  <r>
    <x v="1"/>
    <x v="0"/>
    <x v="15"/>
    <x v="23"/>
    <x v="20"/>
    <x v="23"/>
  </r>
  <r>
    <x v="3"/>
    <x v="1"/>
    <x v="16"/>
    <x v="15"/>
    <x v="21"/>
    <x v="24"/>
  </r>
  <r>
    <x v="3"/>
    <x v="2"/>
    <x v="11"/>
    <x v="24"/>
    <x v="22"/>
    <x v="25"/>
  </r>
  <r>
    <x v="8"/>
    <x v="3"/>
    <x v="10"/>
    <x v="25"/>
    <x v="23"/>
    <x v="26"/>
  </r>
  <r>
    <x v="9"/>
    <x v="1"/>
    <x v="13"/>
    <x v="26"/>
    <x v="24"/>
    <x v="27"/>
  </r>
  <r>
    <x v="6"/>
    <x v="2"/>
    <x v="14"/>
    <x v="27"/>
    <x v="25"/>
    <x v="28"/>
  </r>
  <r>
    <x v="9"/>
    <x v="0"/>
    <x v="14"/>
    <x v="28"/>
    <x v="26"/>
    <x v="29"/>
  </r>
  <r>
    <x v="3"/>
    <x v="0"/>
    <x v="17"/>
    <x v="29"/>
    <x v="27"/>
    <x v="30"/>
  </r>
  <r>
    <x v="7"/>
    <x v="1"/>
    <x v="15"/>
    <x v="30"/>
    <x v="25"/>
    <x v="31"/>
  </r>
  <r>
    <x v="1"/>
    <x v="3"/>
    <x v="0"/>
    <x v="31"/>
    <x v="28"/>
    <x v="32"/>
  </r>
  <r>
    <x v="0"/>
    <x v="3"/>
    <x v="7"/>
    <x v="32"/>
    <x v="9"/>
    <x v="33"/>
  </r>
  <r>
    <x v="3"/>
    <x v="3"/>
    <x v="8"/>
    <x v="33"/>
    <x v="29"/>
    <x v="34"/>
  </r>
  <r>
    <x v="4"/>
    <x v="4"/>
    <x v="18"/>
    <x v="34"/>
    <x v="30"/>
    <x v="35"/>
  </r>
  <r>
    <x v="7"/>
    <x v="3"/>
    <x v="19"/>
    <x v="35"/>
    <x v="11"/>
    <x v="36"/>
  </r>
  <r>
    <x v="4"/>
    <x v="0"/>
    <x v="10"/>
    <x v="36"/>
    <x v="31"/>
    <x v="37"/>
  </r>
  <r>
    <x v="5"/>
    <x v="5"/>
    <x v="1"/>
    <x v="37"/>
    <x v="8"/>
    <x v="38"/>
  </r>
  <r>
    <x v="0"/>
    <x v="5"/>
    <x v="18"/>
    <x v="38"/>
    <x v="32"/>
    <x v="39"/>
  </r>
  <r>
    <x v="6"/>
    <x v="5"/>
    <x v="18"/>
    <x v="39"/>
    <x v="33"/>
    <x v="40"/>
  </r>
  <r>
    <x v="7"/>
    <x v="4"/>
    <x v="14"/>
    <x v="40"/>
    <x v="34"/>
    <x v="41"/>
  </r>
  <r>
    <x v="4"/>
    <x v="5"/>
    <x v="16"/>
    <x v="41"/>
    <x v="25"/>
    <x v="42"/>
  </r>
  <r>
    <x v="8"/>
    <x v="1"/>
    <x v="8"/>
    <x v="42"/>
    <x v="35"/>
    <x v="43"/>
  </r>
  <r>
    <x v="7"/>
    <x v="0"/>
    <x v="15"/>
    <x v="43"/>
    <x v="36"/>
    <x v="44"/>
  </r>
  <r>
    <x v="4"/>
    <x v="0"/>
    <x v="14"/>
    <x v="44"/>
    <x v="37"/>
    <x v="45"/>
  </r>
  <r>
    <x v="6"/>
    <x v="4"/>
    <x v="1"/>
    <x v="45"/>
    <x v="33"/>
    <x v="46"/>
  </r>
  <r>
    <x v="8"/>
    <x v="2"/>
    <x v="10"/>
    <x v="46"/>
    <x v="38"/>
    <x v="47"/>
  </r>
  <r>
    <x v="4"/>
    <x v="5"/>
    <x v="12"/>
    <x v="47"/>
    <x v="8"/>
    <x v="48"/>
  </r>
  <r>
    <x v="0"/>
    <x v="5"/>
    <x v="9"/>
    <x v="48"/>
    <x v="39"/>
    <x v="49"/>
  </r>
  <r>
    <x v="6"/>
    <x v="2"/>
    <x v="10"/>
    <x v="49"/>
    <x v="40"/>
    <x v="50"/>
  </r>
  <r>
    <x v="4"/>
    <x v="2"/>
    <x v="20"/>
    <x v="50"/>
    <x v="41"/>
    <x v="51"/>
  </r>
  <r>
    <x v="7"/>
    <x v="2"/>
    <x v="12"/>
    <x v="51"/>
    <x v="8"/>
    <x v="52"/>
  </r>
  <r>
    <x v="7"/>
    <x v="4"/>
    <x v="19"/>
    <x v="52"/>
    <x v="28"/>
    <x v="53"/>
  </r>
  <r>
    <x v="3"/>
    <x v="1"/>
    <x v="11"/>
    <x v="53"/>
    <x v="42"/>
    <x v="54"/>
  </r>
  <r>
    <x v="0"/>
    <x v="2"/>
    <x v="4"/>
    <x v="54"/>
    <x v="26"/>
    <x v="55"/>
  </r>
  <r>
    <x v="3"/>
    <x v="5"/>
    <x v="9"/>
    <x v="55"/>
    <x v="40"/>
    <x v="56"/>
  </r>
  <r>
    <x v="8"/>
    <x v="5"/>
    <x v="1"/>
    <x v="56"/>
    <x v="43"/>
    <x v="57"/>
  </r>
  <r>
    <x v="2"/>
    <x v="0"/>
    <x v="12"/>
    <x v="57"/>
    <x v="44"/>
    <x v="58"/>
  </r>
  <r>
    <x v="6"/>
    <x v="0"/>
    <x v="6"/>
    <x v="58"/>
    <x v="45"/>
    <x v="59"/>
  </r>
  <r>
    <x v="4"/>
    <x v="5"/>
    <x v="18"/>
    <x v="59"/>
    <x v="46"/>
    <x v="60"/>
  </r>
  <r>
    <x v="4"/>
    <x v="2"/>
    <x v="1"/>
    <x v="60"/>
    <x v="47"/>
    <x v="61"/>
  </r>
  <r>
    <x v="9"/>
    <x v="2"/>
    <x v="14"/>
    <x v="61"/>
    <x v="48"/>
    <x v="62"/>
  </r>
  <r>
    <x v="4"/>
    <x v="4"/>
    <x v="10"/>
    <x v="62"/>
    <x v="49"/>
    <x v="63"/>
  </r>
  <r>
    <x v="1"/>
    <x v="0"/>
    <x v="16"/>
    <x v="63"/>
    <x v="26"/>
    <x v="64"/>
  </r>
  <r>
    <x v="5"/>
    <x v="5"/>
    <x v="13"/>
    <x v="22"/>
    <x v="50"/>
    <x v="65"/>
  </r>
  <r>
    <x v="5"/>
    <x v="0"/>
    <x v="9"/>
    <x v="64"/>
    <x v="51"/>
    <x v="66"/>
  </r>
  <r>
    <x v="6"/>
    <x v="1"/>
    <x v="3"/>
    <x v="42"/>
    <x v="25"/>
    <x v="67"/>
  </r>
  <r>
    <x v="0"/>
    <x v="5"/>
    <x v="15"/>
    <x v="65"/>
    <x v="17"/>
    <x v="68"/>
  </r>
  <r>
    <x v="6"/>
    <x v="5"/>
    <x v="15"/>
    <x v="66"/>
    <x v="24"/>
    <x v="69"/>
  </r>
  <r>
    <x v="9"/>
    <x v="4"/>
    <x v="8"/>
    <x v="67"/>
    <x v="52"/>
    <x v="70"/>
  </r>
  <r>
    <x v="5"/>
    <x v="5"/>
    <x v="5"/>
    <x v="68"/>
    <x v="45"/>
    <x v="71"/>
  </r>
  <r>
    <x v="2"/>
    <x v="5"/>
    <x v="19"/>
    <x v="69"/>
    <x v="53"/>
    <x v="72"/>
  </r>
  <r>
    <x v="2"/>
    <x v="5"/>
    <x v="13"/>
    <x v="70"/>
    <x v="54"/>
    <x v="73"/>
  </r>
  <r>
    <x v="6"/>
    <x v="5"/>
    <x v="12"/>
    <x v="71"/>
    <x v="27"/>
    <x v="74"/>
  </r>
  <r>
    <x v="8"/>
    <x v="2"/>
    <x v="14"/>
    <x v="72"/>
    <x v="55"/>
    <x v="75"/>
  </r>
  <r>
    <x v="3"/>
    <x v="2"/>
    <x v="19"/>
    <x v="73"/>
    <x v="56"/>
    <x v="76"/>
  </r>
  <r>
    <x v="4"/>
    <x v="2"/>
    <x v="9"/>
    <x v="74"/>
    <x v="39"/>
    <x v="77"/>
  </r>
  <r>
    <x v="2"/>
    <x v="1"/>
    <x v="21"/>
    <x v="75"/>
    <x v="57"/>
    <x v="78"/>
  </r>
  <r>
    <x v="6"/>
    <x v="1"/>
    <x v="16"/>
    <x v="76"/>
    <x v="58"/>
    <x v="79"/>
  </r>
  <r>
    <x v="1"/>
    <x v="3"/>
    <x v="6"/>
    <x v="77"/>
    <x v="7"/>
    <x v="80"/>
  </r>
  <r>
    <x v="7"/>
    <x v="4"/>
    <x v="11"/>
    <x v="78"/>
    <x v="59"/>
    <x v="81"/>
  </r>
  <r>
    <x v="8"/>
    <x v="2"/>
    <x v="4"/>
    <x v="47"/>
    <x v="40"/>
    <x v="82"/>
  </r>
  <r>
    <x v="9"/>
    <x v="1"/>
    <x v="3"/>
    <x v="79"/>
    <x v="60"/>
    <x v="83"/>
  </r>
  <r>
    <x v="9"/>
    <x v="4"/>
    <x v="11"/>
    <x v="80"/>
    <x v="61"/>
    <x v="84"/>
  </r>
  <r>
    <x v="7"/>
    <x v="3"/>
    <x v="18"/>
    <x v="81"/>
    <x v="62"/>
    <x v="85"/>
  </r>
  <r>
    <x v="0"/>
    <x v="0"/>
    <x v="15"/>
    <x v="16"/>
    <x v="33"/>
    <x v="86"/>
  </r>
  <r>
    <x v="8"/>
    <x v="2"/>
    <x v="19"/>
    <x v="82"/>
    <x v="17"/>
    <x v="87"/>
  </r>
  <r>
    <x v="9"/>
    <x v="1"/>
    <x v="20"/>
    <x v="83"/>
    <x v="63"/>
    <x v="88"/>
  </r>
  <r>
    <x v="9"/>
    <x v="2"/>
    <x v="12"/>
    <x v="84"/>
    <x v="64"/>
    <x v="89"/>
  </r>
  <r>
    <x v="6"/>
    <x v="4"/>
    <x v="11"/>
    <x v="85"/>
    <x v="6"/>
    <x v="90"/>
  </r>
  <r>
    <x v="3"/>
    <x v="1"/>
    <x v="19"/>
    <x v="86"/>
    <x v="65"/>
    <x v="91"/>
  </r>
  <r>
    <x v="8"/>
    <x v="5"/>
    <x v="21"/>
    <x v="87"/>
    <x v="6"/>
    <x v="92"/>
  </r>
  <r>
    <x v="4"/>
    <x v="4"/>
    <x v="4"/>
    <x v="88"/>
    <x v="8"/>
    <x v="93"/>
  </r>
  <r>
    <x v="2"/>
    <x v="0"/>
    <x v="14"/>
    <x v="89"/>
    <x v="66"/>
    <x v="94"/>
  </r>
  <r>
    <x v="2"/>
    <x v="0"/>
    <x v="4"/>
    <x v="90"/>
    <x v="39"/>
    <x v="95"/>
  </r>
  <r>
    <x v="2"/>
    <x v="4"/>
    <x v="9"/>
    <x v="91"/>
    <x v="47"/>
    <x v="96"/>
  </r>
  <r>
    <x v="8"/>
    <x v="2"/>
    <x v="15"/>
    <x v="8"/>
    <x v="36"/>
    <x v="97"/>
  </r>
  <r>
    <x v="0"/>
    <x v="1"/>
    <x v="1"/>
    <x v="92"/>
    <x v="13"/>
    <x v="98"/>
  </r>
  <r>
    <x v="8"/>
    <x v="5"/>
    <x v="19"/>
    <x v="93"/>
    <x v="67"/>
    <x v="99"/>
  </r>
  <r>
    <x v="5"/>
    <x v="2"/>
    <x v="15"/>
    <x v="94"/>
    <x v="68"/>
    <x v="100"/>
  </r>
  <r>
    <x v="7"/>
    <x v="2"/>
    <x v="18"/>
    <x v="95"/>
    <x v="69"/>
    <x v="101"/>
  </r>
  <r>
    <x v="3"/>
    <x v="0"/>
    <x v="20"/>
    <x v="96"/>
    <x v="47"/>
    <x v="102"/>
  </r>
  <r>
    <x v="6"/>
    <x v="1"/>
    <x v="2"/>
    <x v="97"/>
    <x v="47"/>
    <x v="103"/>
  </r>
  <r>
    <x v="0"/>
    <x v="2"/>
    <x v="5"/>
    <x v="98"/>
    <x v="18"/>
    <x v="104"/>
  </r>
  <r>
    <x v="5"/>
    <x v="5"/>
    <x v="4"/>
    <x v="99"/>
    <x v="70"/>
    <x v="105"/>
  </r>
  <r>
    <x v="7"/>
    <x v="2"/>
    <x v="10"/>
    <x v="100"/>
    <x v="33"/>
    <x v="106"/>
  </r>
  <r>
    <x v="0"/>
    <x v="5"/>
    <x v="21"/>
    <x v="101"/>
    <x v="45"/>
    <x v="107"/>
  </r>
  <r>
    <x v="9"/>
    <x v="2"/>
    <x v="18"/>
    <x v="102"/>
    <x v="29"/>
    <x v="108"/>
  </r>
  <r>
    <x v="1"/>
    <x v="1"/>
    <x v="12"/>
    <x v="103"/>
    <x v="23"/>
    <x v="109"/>
  </r>
  <r>
    <x v="6"/>
    <x v="3"/>
    <x v="21"/>
    <x v="104"/>
    <x v="59"/>
    <x v="110"/>
  </r>
  <r>
    <x v="3"/>
    <x v="2"/>
    <x v="15"/>
    <x v="105"/>
    <x v="71"/>
    <x v="111"/>
  </r>
  <r>
    <x v="5"/>
    <x v="0"/>
    <x v="8"/>
    <x v="106"/>
    <x v="72"/>
    <x v="112"/>
  </r>
  <r>
    <x v="4"/>
    <x v="5"/>
    <x v="21"/>
    <x v="107"/>
    <x v="73"/>
    <x v="113"/>
  </r>
  <r>
    <x v="9"/>
    <x v="5"/>
    <x v="4"/>
    <x v="108"/>
    <x v="66"/>
    <x v="114"/>
  </r>
  <r>
    <x v="4"/>
    <x v="5"/>
    <x v="2"/>
    <x v="109"/>
    <x v="45"/>
    <x v="115"/>
  </r>
  <r>
    <x v="4"/>
    <x v="0"/>
    <x v="3"/>
    <x v="110"/>
    <x v="27"/>
    <x v="116"/>
  </r>
  <r>
    <x v="5"/>
    <x v="1"/>
    <x v="0"/>
    <x v="111"/>
    <x v="74"/>
    <x v="117"/>
  </r>
  <r>
    <x v="7"/>
    <x v="0"/>
    <x v="3"/>
    <x v="112"/>
    <x v="50"/>
    <x v="118"/>
  </r>
  <r>
    <x v="0"/>
    <x v="4"/>
    <x v="4"/>
    <x v="113"/>
    <x v="18"/>
    <x v="119"/>
  </r>
  <r>
    <x v="3"/>
    <x v="0"/>
    <x v="0"/>
    <x v="114"/>
    <x v="75"/>
    <x v="120"/>
  </r>
  <r>
    <x v="0"/>
    <x v="4"/>
    <x v="2"/>
    <x v="115"/>
    <x v="27"/>
    <x v="121"/>
  </r>
  <r>
    <x v="3"/>
    <x v="1"/>
    <x v="18"/>
    <x v="116"/>
    <x v="76"/>
    <x v="122"/>
  </r>
  <r>
    <x v="1"/>
    <x v="1"/>
    <x v="18"/>
    <x v="117"/>
    <x v="68"/>
    <x v="123"/>
  </r>
  <r>
    <x v="4"/>
    <x v="4"/>
    <x v="5"/>
    <x v="2"/>
    <x v="32"/>
    <x v="124"/>
  </r>
  <r>
    <x v="5"/>
    <x v="1"/>
    <x v="17"/>
    <x v="118"/>
    <x v="0"/>
    <x v="125"/>
  </r>
  <r>
    <x v="5"/>
    <x v="1"/>
    <x v="8"/>
    <x v="119"/>
    <x v="41"/>
    <x v="126"/>
  </r>
  <r>
    <x v="5"/>
    <x v="2"/>
    <x v="12"/>
    <x v="120"/>
    <x v="74"/>
    <x v="127"/>
  </r>
  <r>
    <x v="9"/>
    <x v="2"/>
    <x v="1"/>
    <x v="121"/>
    <x v="77"/>
    <x v="128"/>
  </r>
  <r>
    <x v="5"/>
    <x v="3"/>
    <x v="9"/>
    <x v="122"/>
    <x v="78"/>
    <x v="129"/>
  </r>
  <r>
    <x v="1"/>
    <x v="4"/>
    <x v="7"/>
    <x v="123"/>
    <x v="79"/>
    <x v="130"/>
  </r>
  <r>
    <x v="5"/>
    <x v="5"/>
    <x v="9"/>
    <x v="56"/>
    <x v="40"/>
    <x v="131"/>
  </r>
  <r>
    <x v="6"/>
    <x v="2"/>
    <x v="9"/>
    <x v="47"/>
    <x v="80"/>
    <x v="132"/>
  </r>
  <r>
    <x v="5"/>
    <x v="0"/>
    <x v="5"/>
    <x v="124"/>
    <x v="45"/>
    <x v="133"/>
  </r>
  <r>
    <x v="6"/>
    <x v="0"/>
    <x v="7"/>
    <x v="125"/>
    <x v="8"/>
    <x v="134"/>
  </r>
  <r>
    <x v="5"/>
    <x v="4"/>
    <x v="19"/>
    <x v="126"/>
    <x v="81"/>
    <x v="135"/>
  </r>
  <r>
    <x v="4"/>
    <x v="3"/>
    <x v="9"/>
    <x v="127"/>
    <x v="82"/>
    <x v="136"/>
  </r>
  <r>
    <x v="1"/>
    <x v="4"/>
    <x v="1"/>
    <x v="128"/>
    <x v="83"/>
    <x v="137"/>
  </r>
  <r>
    <x v="6"/>
    <x v="1"/>
    <x v="12"/>
    <x v="129"/>
    <x v="84"/>
    <x v="138"/>
  </r>
  <r>
    <x v="2"/>
    <x v="0"/>
    <x v="2"/>
    <x v="130"/>
    <x v="46"/>
    <x v="139"/>
  </r>
  <r>
    <x v="1"/>
    <x v="0"/>
    <x v="0"/>
    <x v="131"/>
    <x v="53"/>
    <x v="140"/>
  </r>
  <r>
    <x v="3"/>
    <x v="2"/>
    <x v="21"/>
    <x v="75"/>
    <x v="20"/>
    <x v="141"/>
  </r>
  <r>
    <x v="5"/>
    <x v="1"/>
    <x v="18"/>
    <x v="132"/>
    <x v="33"/>
    <x v="142"/>
  </r>
  <r>
    <x v="3"/>
    <x v="5"/>
    <x v="5"/>
    <x v="133"/>
    <x v="85"/>
    <x v="143"/>
  </r>
  <r>
    <x v="7"/>
    <x v="0"/>
    <x v="9"/>
    <x v="134"/>
    <x v="58"/>
    <x v="144"/>
  </r>
  <r>
    <x v="1"/>
    <x v="4"/>
    <x v="11"/>
    <x v="135"/>
    <x v="86"/>
    <x v="145"/>
  </r>
  <r>
    <x v="4"/>
    <x v="3"/>
    <x v="12"/>
    <x v="136"/>
    <x v="87"/>
    <x v="146"/>
  </r>
  <r>
    <x v="2"/>
    <x v="5"/>
    <x v="20"/>
    <x v="137"/>
    <x v="82"/>
    <x v="147"/>
  </r>
  <r>
    <x v="7"/>
    <x v="3"/>
    <x v="10"/>
    <x v="138"/>
    <x v="88"/>
    <x v="148"/>
  </r>
  <r>
    <x v="4"/>
    <x v="4"/>
    <x v="20"/>
    <x v="139"/>
    <x v="38"/>
    <x v="149"/>
  </r>
  <r>
    <x v="1"/>
    <x v="1"/>
    <x v="5"/>
    <x v="140"/>
    <x v="89"/>
    <x v="150"/>
  </r>
  <r>
    <x v="2"/>
    <x v="3"/>
    <x v="4"/>
    <x v="141"/>
    <x v="29"/>
    <x v="151"/>
  </r>
  <r>
    <x v="5"/>
    <x v="2"/>
    <x v="7"/>
    <x v="142"/>
    <x v="90"/>
    <x v="152"/>
  </r>
  <r>
    <x v="0"/>
    <x v="3"/>
    <x v="12"/>
    <x v="143"/>
    <x v="32"/>
    <x v="153"/>
  </r>
  <r>
    <x v="5"/>
    <x v="5"/>
    <x v="17"/>
    <x v="144"/>
    <x v="37"/>
    <x v="154"/>
  </r>
  <r>
    <x v="4"/>
    <x v="0"/>
    <x v="19"/>
    <x v="145"/>
    <x v="1"/>
    <x v="155"/>
  </r>
  <r>
    <x v="6"/>
    <x v="5"/>
    <x v="16"/>
    <x v="146"/>
    <x v="58"/>
    <x v="156"/>
  </r>
  <r>
    <x v="4"/>
    <x v="5"/>
    <x v="0"/>
    <x v="147"/>
    <x v="91"/>
    <x v="157"/>
  </r>
  <r>
    <x v="8"/>
    <x v="0"/>
    <x v="12"/>
    <x v="148"/>
    <x v="92"/>
    <x v="158"/>
  </r>
  <r>
    <x v="2"/>
    <x v="1"/>
    <x v="16"/>
    <x v="149"/>
    <x v="93"/>
    <x v="159"/>
  </r>
  <r>
    <x v="7"/>
    <x v="3"/>
    <x v="20"/>
    <x v="150"/>
    <x v="83"/>
    <x v="160"/>
  </r>
  <r>
    <x v="0"/>
    <x v="1"/>
    <x v="0"/>
    <x v="151"/>
    <x v="94"/>
    <x v="161"/>
  </r>
  <r>
    <x v="0"/>
    <x v="4"/>
    <x v="11"/>
    <x v="152"/>
    <x v="95"/>
    <x v="162"/>
  </r>
  <r>
    <x v="5"/>
    <x v="1"/>
    <x v="10"/>
    <x v="153"/>
    <x v="82"/>
    <x v="163"/>
  </r>
  <r>
    <x v="0"/>
    <x v="5"/>
    <x v="14"/>
    <x v="154"/>
    <x v="8"/>
    <x v="164"/>
  </r>
  <r>
    <x v="9"/>
    <x v="3"/>
    <x v="5"/>
    <x v="155"/>
    <x v="26"/>
    <x v="165"/>
  </r>
  <r>
    <x v="5"/>
    <x v="2"/>
    <x v="3"/>
    <x v="12"/>
    <x v="96"/>
    <x v="166"/>
  </r>
  <r>
    <x v="0"/>
    <x v="5"/>
    <x v="5"/>
    <x v="156"/>
    <x v="57"/>
    <x v="167"/>
  </r>
  <r>
    <x v="8"/>
    <x v="1"/>
    <x v="5"/>
    <x v="135"/>
    <x v="97"/>
    <x v="168"/>
  </r>
  <r>
    <x v="8"/>
    <x v="5"/>
    <x v="13"/>
    <x v="157"/>
    <x v="36"/>
    <x v="169"/>
  </r>
  <r>
    <x v="5"/>
    <x v="1"/>
    <x v="15"/>
    <x v="158"/>
    <x v="75"/>
    <x v="170"/>
  </r>
  <r>
    <x v="6"/>
    <x v="5"/>
    <x v="5"/>
    <x v="159"/>
    <x v="66"/>
    <x v="171"/>
  </r>
  <r>
    <x v="9"/>
    <x v="5"/>
    <x v="21"/>
    <x v="9"/>
    <x v="47"/>
    <x v="172"/>
  </r>
  <r>
    <x v="1"/>
    <x v="5"/>
    <x v="10"/>
    <x v="160"/>
    <x v="98"/>
    <x v="173"/>
  </r>
  <r>
    <x v="7"/>
    <x v="3"/>
    <x v="7"/>
    <x v="99"/>
    <x v="19"/>
    <x v="174"/>
  </r>
  <r>
    <x v="3"/>
    <x v="0"/>
    <x v="13"/>
    <x v="161"/>
    <x v="61"/>
    <x v="175"/>
  </r>
  <r>
    <x v="0"/>
    <x v="4"/>
    <x v="17"/>
    <x v="162"/>
    <x v="59"/>
    <x v="176"/>
  </r>
  <r>
    <x v="4"/>
    <x v="2"/>
    <x v="2"/>
    <x v="163"/>
    <x v="12"/>
    <x v="177"/>
  </r>
  <r>
    <x v="1"/>
    <x v="3"/>
    <x v="21"/>
    <x v="164"/>
    <x v="82"/>
    <x v="178"/>
  </r>
  <r>
    <x v="2"/>
    <x v="2"/>
    <x v="18"/>
    <x v="165"/>
    <x v="20"/>
    <x v="179"/>
  </r>
  <r>
    <x v="4"/>
    <x v="4"/>
    <x v="11"/>
    <x v="61"/>
    <x v="61"/>
    <x v="180"/>
  </r>
  <r>
    <x v="9"/>
    <x v="0"/>
    <x v="19"/>
    <x v="166"/>
    <x v="82"/>
    <x v="181"/>
  </r>
  <r>
    <x v="3"/>
    <x v="0"/>
    <x v="21"/>
    <x v="167"/>
    <x v="96"/>
    <x v="182"/>
  </r>
  <r>
    <x v="8"/>
    <x v="3"/>
    <x v="21"/>
    <x v="168"/>
    <x v="99"/>
    <x v="183"/>
  </r>
  <r>
    <x v="9"/>
    <x v="5"/>
    <x v="15"/>
    <x v="169"/>
    <x v="20"/>
    <x v="184"/>
  </r>
  <r>
    <x v="8"/>
    <x v="5"/>
    <x v="8"/>
    <x v="170"/>
    <x v="100"/>
    <x v="185"/>
  </r>
  <r>
    <x v="1"/>
    <x v="0"/>
    <x v="21"/>
    <x v="171"/>
    <x v="101"/>
    <x v="186"/>
  </r>
  <r>
    <x v="0"/>
    <x v="4"/>
    <x v="12"/>
    <x v="113"/>
    <x v="101"/>
    <x v="187"/>
  </r>
  <r>
    <x v="4"/>
    <x v="1"/>
    <x v="18"/>
    <x v="172"/>
    <x v="96"/>
    <x v="188"/>
  </r>
  <r>
    <x v="6"/>
    <x v="2"/>
    <x v="11"/>
    <x v="173"/>
    <x v="41"/>
    <x v="189"/>
  </r>
  <r>
    <x v="2"/>
    <x v="3"/>
    <x v="3"/>
    <x v="174"/>
    <x v="20"/>
    <x v="190"/>
  </r>
  <r>
    <x v="1"/>
    <x v="0"/>
    <x v="7"/>
    <x v="175"/>
    <x v="24"/>
    <x v="191"/>
  </r>
  <r>
    <x v="5"/>
    <x v="5"/>
    <x v="8"/>
    <x v="176"/>
    <x v="102"/>
    <x v="192"/>
  </r>
  <r>
    <x v="8"/>
    <x v="5"/>
    <x v="4"/>
    <x v="177"/>
    <x v="90"/>
    <x v="193"/>
  </r>
  <r>
    <x v="4"/>
    <x v="0"/>
    <x v="0"/>
    <x v="178"/>
    <x v="62"/>
    <x v="194"/>
  </r>
  <r>
    <x v="2"/>
    <x v="0"/>
    <x v="21"/>
    <x v="179"/>
    <x v="78"/>
    <x v="195"/>
  </r>
  <r>
    <x v="2"/>
    <x v="5"/>
    <x v="9"/>
    <x v="180"/>
    <x v="85"/>
    <x v="196"/>
  </r>
  <r>
    <x v="1"/>
    <x v="1"/>
    <x v="0"/>
    <x v="181"/>
    <x v="62"/>
    <x v="197"/>
  </r>
  <r>
    <x v="0"/>
    <x v="1"/>
    <x v="7"/>
    <x v="182"/>
    <x v="103"/>
    <x v="198"/>
  </r>
  <r>
    <x v="0"/>
    <x v="1"/>
    <x v="10"/>
    <x v="183"/>
    <x v="85"/>
    <x v="199"/>
  </r>
  <r>
    <x v="3"/>
    <x v="2"/>
    <x v="1"/>
    <x v="184"/>
    <x v="79"/>
    <x v="200"/>
  </r>
  <r>
    <x v="3"/>
    <x v="5"/>
    <x v="10"/>
    <x v="185"/>
    <x v="72"/>
    <x v="201"/>
  </r>
  <r>
    <x v="6"/>
    <x v="2"/>
    <x v="0"/>
    <x v="114"/>
    <x v="104"/>
    <x v="202"/>
  </r>
  <r>
    <x v="0"/>
    <x v="3"/>
    <x v="19"/>
    <x v="186"/>
    <x v="72"/>
    <x v="203"/>
  </r>
  <r>
    <x v="7"/>
    <x v="0"/>
    <x v="8"/>
    <x v="187"/>
    <x v="6"/>
    <x v="204"/>
  </r>
  <r>
    <x v="6"/>
    <x v="3"/>
    <x v="17"/>
    <x v="65"/>
    <x v="99"/>
    <x v="205"/>
  </r>
  <r>
    <x v="2"/>
    <x v="5"/>
    <x v="10"/>
    <x v="62"/>
    <x v="37"/>
    <x v="206"/>
  </r>
  <r>
    <x v="5"/>
    <x v="4"/>
    <x v="3"/>
    <x v="188"/>
    <x v="105"/>
    <x v="207"/>
  </r>
  <r>
    <x v="4"/>
    <x v="3"/>
    <x v="0"/>
    <x v="189"/>
    <x v="41"/>
    <x v="208"/>
  </r>
  <r>
    <x v="3"/>
    <x v="4"/>
    <x v="4"/>
    <x v="190"/>
    <x v="33"/>
    <x v="209"/>
  </r>
  <r>
    <x v="5"/>
    <x v="0"/>
    <x v="7"/>
    <x v="191"/>
    <x v="46"/>
    <x v="210"/>
  </r>
  <r>
    <x v="2"/>
    <x v="0"/>
    <x v="13"/>
    <x v="192"/>
    <x v="70"/>
    <x v="211"/>
  </r>
  <r>
    <x v="6"/>
    <x v="3"/>
    <x v="7"/>
    <x v="193"/>
    <x v="62"/>
    <x v="212"/>
  </r>
  <r>
    <x v="2"/>
    <x v="3"/>
    <x v="17"/>
    <x v="194"/>
    <x v="97"/>
    <x v="213"/>
  </r>
  <r>
    <x v="9"/>
    <x v="3"/>
    <x v="20"/>
    <x v="195"/>
    <x v="60"/>
    <x v="214"/>
  </r>
  <r>
    <x v="7"/>
    <x v="4"/>
    <x v="2"/>
    <x v="196"/>
    <x v="106"/>
    <x v="215"/>
  </r>
  <r>
    <x v="5"/>
    <x v="3"/>
    <x v="18"/>
    <x v="197"/>
    <x v="107"/>
    <x v="216"/>
  </r>
  <r>
    <x v="6"/>
    <x v="3"/>
    <x v="3"/>
    <x v="198"/>
    <x v="108"/>
    <x v="217"/>
  </r>
  <r>
    <x v="4"/>
    <x v="5"/>
    <x v="10"/>
    <x v="199"/>
    <x v="8"/>
    <x v="218"/>
  </r>
  <r>
    <x v="2"/>
    <x v="2"/>
    <x v="1"/>
    <x v="200"/>
    <x v="37"/>
    <x v="219"/>
  </r>
  <r>
    <x v="5"/>
    <x v="2"/>
    <x v="1"/>
    <x v="201"/>
    <x v="15"/>
    <x v="220"/>
  </r>
  <r>
    <x v="3"/>
    <x v="2"/>
    <x v="0"/>
    <x v="60"/>
    <x v="85"/>
    <x v="221"/>
  </r>
  <r>
    <x v="7"/>
    <x v="3"/>
    <x v="16"/>
    <x v="202"/>
    <x v="38"/>
    <x v="222"/>
  </r>
  <r>
    <x v="2"/>
    <x v="4"/>
    <x v="17"/>
    <x v="203"/>
    <x v="109"/>
    <x v="223"/>
  </r>
  <r>
    <x v="8"/>
    <x v="1"/>
    <x v="14"/>
    <x v="103"/>
    <x v="110"/>
    <x v="224"/>
  </r>
  <r>
    <x v="2"/>
    <x v="2"/>
    <x v="0"/>
    <x v="204"/>
    <x v="111"/>
    <x v="225"/>
  </r>
  <r>
    <x v="2"/>
    <x v="0"/>
    <x v="19"/>
    <x v="205"/>
    <x v="101"/>
    <x v="226"/>
  </r>
  <r>
    <x v="3"/>
    <x v="4"/>
    <x v="7"/>
    <x v="206"/>
    <x v="106"/>
    <x v="227"/>
  </r>
  <r>
    <x v="9"/>
    <x v="1"/>
    <x v="16"/>
    <x v="207"/>
    <x v="49"/>
    <x v="228"/>
  </r>
  <r>
    <x v="6"/>
    <x v="0"/>
    <x v="4"/>
    <x v="208"/>
    <x v="33"/>
    <x v="229"/>
  </r>
  <r>
    <x v="6"/>
    <x v="2"/>
    <x v="3"/>
    <x v="209"/>
    <x v="106"/>
    <x v="230"/>
  </r>
  <r>
    <x v="1"/>
    <x v="5"/>
    <x v="6"/>
    <x v="210"/>
    <x v="3"/>
    <x v="231"/>
  </r>
  <r>
    <x v="4"/>
    <x v="2"/>
    <x v="11"/>
    <x v="211"/>
    <x v="26"/>
    <x v="232"/>
  </r>
  <r>
    <x v="0"/>
    <x v="4"/>
    <x v="21"/>
    <x v="212"/>
    <x v="15"/>
    <x v="233"/>
  </r>
  <r>
    <x v="0"/>
    <x v="3"/>
    <x v="18"/>
    <x v="213"/>
    <x v="26"/>
    <x v="234"/>
  </r>
  <r>
    <x v="6"/>
    <x v="4"/>
    <x v="15"/>
    <x v="214"/>
    <x v="23"/>
    <x v="235"/>
  </r>
  <r>
    <x v="0"/>
    <x v="2"/>
    <x v="18"/>
    <x v="215"/>
    <x v="97"/>
    <x v="236"/>
  </r>
  <r>
    <x v="4"/>
    <x v="1"/>
    <x v="2"/>
    <x v="216"/>
    <x v="112"/>
    <x v="237"/>
  </r>
  <r>
    <x v="8"/>
    <x v="0"/>
    <x v="19"/>
    <x v="217"/>
    <x v="113"/>
    <x v="238"/>
  </r>
  <r>
    <x v="0"/>
    <x v="0"/>
    <x v="18"/>
    <x v="218"/>
    <x v="66"/>
    <x v="239"/>
  </r>
  <r>
    <x v="9"/>
    <x v="1"/>
    <x v="8"/>
    <x v="219"/>
    <x v="70"/>
    <x v="240"/>
  </r>
  <r>
    <x v="1"/>
    <x v="3"/>
    <x v="3"/>
    <x v="220"/>
    <x v="82"/>
    <x v="241"/>
  </r>
  <r>
    <x v="2"/>
    <x v="4"/>
    <x v="21"/>
    <x v="221"/>
    <x v="114"/>
    <x v="242"/>
  </r>
  <r>
    <x v="2"/>
    <x v="4"/>
    <x v="5"/>
    <x v="222"/>
    <x v="15"/>
    <x v="243"/>
  </r>
  <r>
    <x v="9"/>
    <x v="0"/>
    <x v="20"/>
    <x v="223"/>
    <x v="3"/>
    <x v="244"/>
  </r>
  <r>
    <x v="1"/>
    <x v="1"/>
    <x v="13"/>
    <x v="224"/>
    <x v="115"/>
    <x v="245"/>
  </r>
  <r>
    <x v="9"/>
    <x v="5"/>
    <x v="9"/>
    <x v="225"/>
    <x v="15"/>
    <x v="246"/>
  </r>
  <r>
    <x v="4"/>
    <x v="5"/>
    <x v="9"/>
    <x v="226"/>
    <x v="53"/>
    <x v="247"/>
  </r>
  <r>
    <x v="7"/>
    <x v="1"/>
    <x v="9"/>
    <x v="227"/>
    <x v="77"/>
    <x v="248"/>
  </r>
  <r>
    <x v="5"/>
    <x v="1"/>
    <x v="19"/>
    <x v="228"/>
    <x v="3"/>
    <x v="249"/>
  </r>
  <r>
    <x v="9"/>
    <x v="2"/>
    <x v="11"/>
    <x v="229"/>
    <x v="8"/>
    <x v="250"/>
  </r>
  <r>
    <x v="0"/>
    <x v="4"/>
    <x v="6"/>
    <x v="230"/>
    <x v="40"/>
    <x v="251"/>
  </r>
  <r>
    <x v="4"/>
    <x v="5"/>
    <x v="1"/>
    <x v="231"/>
    <x v="61"/>
    <x v="252"/>
  </r>
  <r>
    <x v="0"/>
    <x v="2"/>
    <x v="2"/>
    <x v="232"/>
    <x v="38"/>
    <x v="253"/>
  </r>
  <r>
    <x v="6"/>
    <x v="5"/>
    <x v="7"/>
    <x v="171"/>
    <x v="116"/>
    <x v="254"/>
  </r>
  <r>
    <x v="0"/>
    <x v="2"/>
    <x v="11"/>
    <x v="233"/>
    <x v="58"/>
    <x v="255"/>
  </r>
  <r>
    <x v="7"/>
    <x v="2"/>
    <x v="9"/>
    <x v="234"/>
    <x v="45"/>
    <x v="256"/>
  </r>
  <r>
    <x v="6"/>
    <x v="1"/>
    <x v="7"/>
    <x v="235"/>
    <x v="79"/>
    <x v="257"/>
  </r>
  <r>
    <x v="1"/>
    <x v="0"/>
    <x v="20"/>
    <x v="236"/>
    <x v="15"/>
    <x v="258"/>
  </r>
  <r>
    <x v="5"/>
    <x v="4"/>
    <x v="0"/>
    <x v="237"/>
    <x v="67"/>
    <x v="259"/>
  </r>
  <r>
    <x v="8"/>
    <x v="3"/>
    <x v="19"/>
    <x v="159"/>
    <x v="27"/>
    <x v="260"/>
  </r>
  <r>
    <x v="1"/>
    <x v="4"/>
    <x v="20"/>
    <x v="238"/>
    <x v="110"/>
    <x v="261"/>
  </r>
  <r>
    <x v="8"/>
    <x v="5"/>
    <x v="14"/>
    <x v="239"/>
    <x v="88"/>
    <x v="262"/>
  </r>
  <r>
    <x v="3"/>
    <x v="1"/>
    <x v="15"/>
    <x v="212"/>
    <x v="114"/>
    <x v="263"/>
  </r>
  <r>
    <x v="0"/>
    <x v="1"/>
    <x v="17"/>
    <x v="189"/>
    <x v="45"/>
    <x v="264"/>
  </r>
  <r>
    <x v="5"/>
    <x v="5"/>
    <x v="16"/>
    <x v="240"/>
    <x v="117"/>
    <x v="265"/>
  </r>
  <r>
    <x v="0"/>
    <x v="3"/>
    <x v="16"/>
    <x v="241"/>
    <x v="90"/>
    <x v="266"/>
  </r>
  <r>
    <x v="4"/>
    <x v="1"/>
    <x v="13"/>
    <x v="242"/>
    <x v="105"/>
    <x v="267"/>
  </r>
  <r>
    <x v="1"/>
    <x v="2"/>
    <x v="14"/>
    <x v="48"/>
    <x v="53"/>
    <x v="268"/>
  </r>
  <r>
    <x v="7"/>
    <x v="0"/>
    <x v="16"/>
    <x v="243"/>
    <x v="90"/>
    <x v="269"/>
  </r>
  <r>
    <x v="0"/>
    <x v="1"/>
    <x v="12"/>
    <x v="244"/>
    <x v="89"/>
    <x v="270"/>
  </r>
  <r>
    <x v="4"/>
    <x v="0"/>
    <x v="21"/>
    <x v="245"/>
    <x v="49"/>
    <x v="271"/>
  </r>
  <r>
    <x v="8"/>
    <x v="1"/>
    <x v="16"/>
    <x v="121"/>
    <x v="100"/>
    <x v="272"/>
  </r>
  <r>
    <x v="8"/>
    <x v="5"/>
    <x v="9"/>
    <x v="205"/>
    <x v="66"/>
    <x v="273"/>
  </r>
  <r>
    <x v="7"/>
    <x v="2"/>
    <x v="6"/>
    <x v="246"/>
    <x v="78"/>
    <x v="274"/>
  </r>
  <r>
    <x v="4"/>
    <x v="3"/>
    <x v="17"/>
    <x v="247"/>
    <x v="106"/>
    <x v="275"/>
  </r>
  <r>
    <x v="1"/>
    <x v="4"/>
    <x v="18"/>
    <x v="248"/>
    <x v="41"/>
    <x v="276"/>
  </r>
  <r>
    <x v="6"/>
    <x v="1"/>
    <x v="6"/>
    <x v="117"/>
    <x v="78"/>
    <x v="277"/>
  </r>
  <r>
    <x v="7"/>
    <x v="5"/>
    <x v="15"/>
    <x v="249"/>
    <x v="12"/>
    <x v="278"/>
  </r>
  <r>
    <x v="7"/>
    <x v="4"/>
    <x v="6"/>
    <x v="250"/>
    <x v="80"/>
    <x v="279"/>
  </r>
  <r>
    <x v="3"/>
    <x v="5"/>
    <x v="14"/>
    <x v="251"/>
    <x v="89"/>
    <x v="280"/>
  </r>
  <r>
    <x v="4"/>
    <x v="1"/>
    <x v="0"/>
    <x v="252"/>
    <x v="61"/>
    <x v="281"/>
  </r>
  <r>
    <x v="6"/>
    <x v="4"/>
    <x v="4"/>
    <x v="253"/>
    <x v="101"/>
    <x v="282"/>
  </r>
  <r>
    <x v="9"/>
    <x v="4"/>
    <x v="2"/>
    <x v="254"/>
    <x v="89"/>
    <x v="283"/>
  </r>
  <r>
    <x v="0"/>
    <x v="0"/>
    <x v="12"/>
    <x v="255"/>
    <x v="29"/>
    <x v="284"/>
  </r>
  <r>
    <x v="4"/>
    <x v="2"/>
    <x v="12"/>
    <x v="256"/>
    <x v="32"/>
    <x v="285"/>
  </r>
  <r>
    <x v="9"/>
    <x v="5"/>
    <x v="7"/>
    <x v="257"/>
    <x v="117"/>
    <x v="286"/>
  </r>
  <r>
    <x v="5"/>
    <x v="2"/>
    <x v="6"/>
    <x v="258"/>
    <x v="88"/>
    <x v="287"/>
  </r>
  <r>
    <x v="8"/>
    <x v="3"/>
    <x v="12"/>
    <x v="259"/>
    <x v="59"/>
    <x v="288"/>
  </r>
  <r>
    <x v="7"/>
    <x v="3"/>
    <x v="14"/>
    <x v="260"/>
    <x v="38"/>
    <x v="289"/>
  </r>
  <r>
    <x v="2"/>
    <x v="1"/>
    <x v="18"/>
    <x v="261"/>
    <x v="11"/>
    <x v="290"/>
  </r>
  <r>
    <x v="2"/>
    <x v="2"/>
    <x v="4"/>
    <x v="262"/>
    <x v="0"/>
    <x v="291"/>
  </r>
  <r>
    <x v="5"/>
    <x v="0"/>
    <x v="0"/>
    <x v="263"/>
    <x v="6"/>
    <x v="292"/>
  </r>
  <r>
    <x v="5"/>
    <x v="0"/>
    <x v="10"/>
    <x v="64"/>
    <x v="118"/>
    <x v="293"/>
  </r>
  <r>
    <x v="8"/>
    <x v="0"/>
    <x v="2"/>
    <x v="62"/>
    <x v="91"/>
    <x v="294"/>
  </r>
  <r>
    <x v="8"/>
    <x v="4"/>
    <x v="21"/>
    <x v="264"/>
    <x v="77"/>
    <x v="295"/>
  </r>
  <r>
    <x v="7"/>
    <x v="3"/>
    <x v="5"/>
    <x v="65"/>
    <x v="89"/>
    <x v="296"/>
  </r>
  <r>
    <x v="3"/>
    <x v="0"/>
    <x v="16"/>
    <x v="265"/>
    <x v="22"/>
    <x v="297"/>
  </r>
  <r>
    <x v="2"/>
    <x v="4"/>
    <x v="4"/>
    <x v="266"/>
    <x v="27"/>
    <x v="2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s v="Ram Mahesh"/>
    <x v="0"/>
    <x v="0"/>
    <x v="0"/>
    <x v="0"/>
    <n v="14.49"/>
    <n v="1651.8600000000001"/>
    <x v="0"/>
  </r>
  <r>
    <s v="Brien Boise"/>
    <x v="1"/>
    <x v="1"/>
    <x v="1"/>
    <x v="1"/>
    <n v="8.65"/>
    <n v="3970.3500000000004"/>
    <x v="1"/>
  </r>
  <r>
    <s v="Husein Augar"/>
    <x v="1"/>
    <x v="2"/>
    <x v="2"/>
    <x v="2"/>
    <n v="11.88"/>
    <n v="1746.3600000000001"/>
    <x v="2"/>
  </r>
  <r>
    <s v="Carla Molina"/>
    <x v="2"/>
    <x v="3"/>
    <x v="3"/>
    <x v="3"/>
    <n v="6.47"/>
    <n v="1863.36"/>
    <x v="3"/>
  </r>
  <r>
    <s v="Curtice Advani"/>
    <x v="3"/>
    <x v="4"/>
    <x v="4"/>
    <x v="4"/>
    <n v="13.15"/>
    <n v="5444.1"/>
    <x v="4"/>
  </r>
  <r>
    <s v="Ram Mahesh"/>
    <x v="1"/>
    <x v="5"/>
    <x v="5"/>
    <x v="5"/>
    <n v="12.37"/>
    <n v="5343.8399999999992"/>
    <x v="5"/>
  </r>
  <r>
    <s v="Curtice Advani"/>
    <x v="4"/>
    <x v="6"/>
    <x v="6"/>
    <x v="6"/>
    <n v="5.79"/>
    <n v="312.66000000000003"/>
    <x v="6"/>
  </r>
  <r>
    <s v="Brien Boise"/>
    <x v="1"/>
    <x v="7"/>
    <x v="7"/>
    <x v="7"/>
    <n v="9.77"/>
    <n v="2051.6999999999998"/>
    <x v="7"/>
  </r>
  <r>
    <s v="Ches Bonnell"/>
    <x v="4"/>
    <x v="8"/>
    <x v="8"/>
    <x v="8"/>
    <n v="11.7"/>
    <n v="877.5"/>
    <x v="8"/>
  </r>
  <r>
    <s v="Gigi Bohling"/>
    <x v="0"/>
    <x v="8"/>
    <x v="9"/>
    <x v="9"/>
    <n v="11.7"/>
    <n v="140.39999999999998"/>
    <x v="9"/>
  </r>
  <r>
    <s v="Barr Faughny"/>
    <x v="3"/>
    <x v="4"/>
    <x v="10"/>
    <x v="10"/>
    <n v="13.15"/>
    <n v="6075.3"/>
    <x v="10"/>
  </r>
  <r>
    <s v="Gunar Cockshoot"/>
    <x v="0"/>
    <x v="9"/>
    <x v="11"/>
    <x v="11"/>
    <n v="3.11"/>
    <n v="447.84"/>
    <x v="11"/>
  </r>
  <r>
    <s v="Husein Augar"/>
    <x v="4"/>
    <x v="10"/>
    <x v="12"/>
    <x v="12"/>
    <n v="8.7899999999999991"/>
    <n v="1054.8"/>
    <x v="12"/>
  </r>
  <r>
    <s v="Barr Faughny"/>
    <x v="5"/>
    <x v="11"/>
    <x v="13"/>
    <x v="6"/>
    <n v="9.33"/>
    <n v="503.82"/>
    <x v="13"/>
  </r>
  <r>
    <s v="Gunar Cockshoot"/>
    <x v="1"/>
    <x v="4"/>
    <x v="14"/>
    <x v="13"/>
    <n v="13.15"/>
    <n v="3077.1"/>
    <x v="14"/>
  </r>
  <r>
    <s v="Gunar Cockshoot"/>
    <x v="1"/>
    <x v="12"/>
    <x v="15"/>
    <x v="14"/>
    <n v="7.16"/>
    <n v="472.56"/>
    <x v="15"/>
  </r>
  <r>
    <s v="Curtice Advani"/>
    <x v="0"/>
    <x v="6"/>
    <x v="16"/>
    <x v="15"/>
    <n v="5.79"/>
    <n v="503.73"/>
    <x v="16"/>
  </r>
  <r>
    <s v="Gigi Bohling"/>
    <x v="5"/>
    <x v="13"/>
    <x v="17"/>
    <x v="16"/>
    <n v="10.62"/>
    <n v="3600.18"/>
    <x v="17"/>
  </r>
  <r>
    <s v="Carla Molina"/>
    <x v="5"/>
    <x v="7"/>
    <x v="18"/>
    <x v="11"/>
    <n v="9.77"/>
    <n v="1406.8799999999999"/>
    <x v="18"/>
  </r>
  <r>
    <s v="Barr Faughny"/>
    <x v="3"/>
    <x v="13"/>
    <x v="19"/>
    <x v="17"/>
    <n v="10.62"/>
    <n v="1720.4399999999998"/>
    <x v="19"/>
  </r>
  <r>
    <s v="Husein Augar"/>
    <x v="5"/>
    <x v="14"/>
    <x v="20"/>
    <x v="18"/>
    <n v="6.49"/>
    <n v="584.1"/>
    <x v="20"/>
  </r>
  <r>
    <s v="Brien Boise"/>
    <x v="4"/>
    <x v="14"/>
    <x v="21"/>
    <x v="13"/>
    <n v="6.49"/>
    <n v="1518.66"/>
    <x v="21"/>
  </r>
  <r>
    <s v="Oby Sorrel"/>
    <x v="4"/>
    <x v="7"/>
    <x v="22"/>
    <x v="19"/>
    <n v="9.77"/>
    <n v="1377.57"/>
    <x v="22"/>
  </r>
  <r>
    <s v="Brien Boise"/>
    <x v="0"/>
    <x v="15"/>
    <x v="23"/>
    <x v="20"/>
    <n v="7.64"/>
    <n v="1558.56"/>
    <x v="23"/>
  </r>
  <r>
    <s v="Carla Molina"/>
    <x v="1"/>
    <x v="16"/>
    <x v="15"/>
    <x v="21"/>
    <n v="11.73"/>
    <n v="2181.7800000000002"/>
    <x v="24"/>
  </r>
  <r>
    <s v="Carla Molina"/>
    <x v="2"/>
    <x v="11"/>
    <x v="24"/>
    <x v="22"/>
    <n v="9.33"/>
    <n v="2155.23"/>
    <x v="25"/>
  </r>
  <r>
    <s v="Gunar Cockshoot"/>
    <x v="3"/>
    <x v="10"/>
    <x v="25"/>
    <x v="23"/>
    <n v="8.7899999999999991"/>
    <n v="1476.7199999999998"/>
    <x v="26"/>
  </r>
  <r>
    <s v="Oby Sorrel"/>
    <x v="1"/>
    <x v="13"/>
    <x v="26"/>
    <x v="24"/>
    <n v="10.62"/>
    <n v="2070.8999999999996"/>
    <x v="27"/>
  </r>
  <r>
    <s v="Gigi Bohling"/>
    <x v="2"/>
    <x v="14"/>
    <x v="27"/>
    <x v="25"/>
    <n v="6.49"/>
    <n v="97.350000000000009"/>
    <x v="28"/>
  </r>
  <r>
    <s v="Oby Sorrel"/>
    <x v="0"/>
    <x v="14"/>
    <x v="28"/>
    <x v="26"/>
    <n v="6.49"/>
    <n v="194.70000000000002"/>
    <x v="29"/>
  </r>
  <r>
    <s v="Carla Molina"/>
    <x v="0"/>
    <x v="17"/>
    <x v="29"/>
    <x v="27"/>
    <n v="4.97"/>
    <n v="506.94"/>
    <x v="30"/>
  </r>
  <r>
    <s v="Barr Faughny"/>
    <x v="1"/>
    <x v="15"/>
    <x v="30"/>
    <x v="25"/>
    <n v="7.64"/>
    <n v="114.6"/>
    <x v="31"/>
  </r>
  <r>
    <s v="Brien Boise"/>
    <x v="3"/>
    <x v="0"/>
    <x v="31"/>
    <x v="28"/>
    <n v="14.49"/>
    <n v="2651.67"/>
    <x v="32"/>
  </r>
  <r>
    <s v="Ram Mahesh"/>
    <x v="3"/>
    <x v="7"/>
    <x v="32"/>
    <x v="9"/>
    <n v="9.77"/>
    <n v="117.24"/>
    <x v="33"/>
  </r>
  <r>
    <s v="Carla Molina"/>
    <x v="3"/>
    <x v="8"/>
    <x v="33"/>
    <x v="29"/>
    <n v="11.7"/>
    <n v="842.4"/>
    <x v="34"/>
  </r>
  <r>
    <s v="Curtice Advani"/>
    <x v="4"/>
    <x v="18"/>
    <x v="34"/>
    <x v="30"/>
    <n v="16.73"/>
    <n v="4717.8599999999997"/>
    <x v="35"/>
  </r>
  <r>
    <s v="Barr Faughny"/>
    <x v="3"/>
    <x v="19"/>
    <x v="35"/>
    <x v="11"/>
    <n v="10.38"/>
    <n v="1494.72"/>
    <x v="36"/>
  </r>
  <r>
    <s v="Curtice Advani"/>
    <x v="0"/>
    <x v="10"/>
    <x v="36"/>
    <x v="31"/>
    <n v="8.7899999999999991"/>
    <n v="3559.95"/>
    <x v="37"/>
  </r>
  <r>
    <s v="Ches Bonnell"/>
    <x v="5"/>
    <x v="1"/>
    <x v="37"/>
    <x v="8"/>
    <n v="8.65"/>
    <n v="648.75"/>
    <x v="38"/>
  </r>
  <r>
    <s v="Ram Mahesh"/>
    <x v="5"/>
    <x v="18"/>
    <x v="38"/>
    <x v="32"/>
    <n v="16.73"/>
    <n v="2258.5500000000002"/>
    <x v="39"/>
  </r>
  <r>
    <s v="Gigi Bohling"/>
    <x v="5"/>
    <x v="18"/>
    <x v="39"/>
    <x v="33"/>
    <n v="16.73"/>
    <n v="351.33"/>
    <x v="40"/>
  </r>
  <r>
    <s v="Barr Faughny"/>
    <x v="4"/>
    <x v="14"/>
    <x v="40"/>
    <x v="34"/>
    <n v="6.49"/>
    <n v="992.97"/>
    <x v="41"/>
  </r>
  <r>
    <s v="Curtice Advani"/>
    <x v="5"/>
    <x v="16"/>
    <x v="41"/>
    <x v="25"/>
    <n v="11.73"/>
    <n v="175.95000000000002"/>
    <x v="42"/>
  </r>
  <r>
    <s v="Gunar Cockshoot"/>
    <x v="1"/>
    <x v="8"/>
    <x v="42"/>
    <x v="35"/>
    <n v="11.7"/>
    <n v="2983.5"/>
    <x v="43"/>
  </r>
  <r>
    <s v="Barr Faughny"/>
    <x v="0"/>
    <x v="15"/>
    <x v="43"/>
    <x v="36"/>
    <n v="7.64"/>
    <n v="137.51999999999998"/>
    <x v="44"/>
  </r>
  <r>
    <s v="Curtice Advani"/>
    <x v="0"/>
    <x v="14"/>
    <x v="44"/>
    <x v="37"/>
    <n v="6.49"/>
    <n v="1226.6100000000001"/>
    <x v="45"/>
  </r>
  <r>
    <s v="Gigi Bohling"/>
    <x v="4"/>
    <x v="1"/>
    <x v="45"/>
    <x v="33"/>
    <n v="8.65"/>
    <n v="181.65"/>
    <x v="46"/>
  </r>
  <r>
    <s v="Gunar Cockshoot"/>
    <x v="2"/>
    <x v="10"/>
    <x v="46"/>
    <x v="38"/>
    <n v="8.7899999999999991"/>
    <n v="316.43999999999994"/>
    <x v="47"/>
  </r>
  <r>
    <s v="Curtice Advani"/>
    <x v="5"/>
    <x v="12"/>
    <x v="47"/>
    <x v="8"/>
    <n v="7.16"/>
    <n v="537"/>
    <x v="48"/>
  </r>
  <r>
    <s v="Ram Mahesh"/>
    <x v="5"/>
    <x v="9"/>
    <x v="48"/>
    <x v="39"/>
    <n v="3.11"/>
    <n v="485.15999999999997"/>
    <x v="49"/>
  </r>
  <r>
    <s v="Gigi Bohling"/>
    <x v="2"/>
    <x v="10"/>
    <x v="49"/>
    <x v="40"/>
    <n v="8.7899999999999991"/>
    <n v="342.80999999999995"/>
    <x v="50"/>
  </r>
  <r>
    <s v="Curtice Advani"/>
    <x v="2"/>
    <x v="20"/>
    <x v="50"/>
    <x v="41"/>
    <n v="9"/>
    <n v="567"/>
    <x v="51"/>
  </r>
  <r>
    <s v="Barr Faughny"/>
    <x v="2"/>
    <x v="12"/>
    <x v="51"/>
    <x v="8"/>
    <n v="7.16"/>
    <n v="537"/>
    <x v="52"/>
  </r>
  <r>
    <s v="Barr Faughny"/>
    <x v="4"/>
    <x v="19"/>
    <x v="52"/>
    <x v="28"/>
    <n v="10.38"/>
    <n v="1899.5400000000002"/>
    <x v="53"/>
  </r>
  <r>
    <s v="Carla Molina"/>
    <x v="1"/>
    <x v="11"/>
    <x v="53"/>
    <x v="42"/>
    <n v="9.33"/>
    <n v="643.77"/>
    <x v="54"/>
  </r>
  <r>
    <s v="Ram Mahesh"/>
    <x v="2"/>
    <x v="4"/>
    <x v="54"/>
    <x v="26"/>
    <n v="13.15"/>
    <n v="394.5"/>
    <x v="55"/>
  </r>
  <r>
    <s v="Carla Molina"/>
    <x v="5"/>
    <x v="9"/>
    <x v="55"/>
    <x v="40"/>
    <n v="3.11"/>
    <n v="121.28999999999999"/>
    <x v="56"/>
  </r>
  <r>
    <s v="Gunar Cockshoot"/>
    <x v="5"/>
    <x v="1"/>
    <x v="56"/>
    <x v="43"/>
    <n v="8.65"/>
    <n v="4359.6000000000004"/>
    <x v="57"/>
  </r>
  <r>
    <s v="Husein Augar"/>
    <x v="0"/>
    <x v="12"/>
    <x v="57"/>
    <x v="44"/>
    <n v="7.16"/>
    <n v="1954.68"/>
    <x v="58"/>
  </r>
  <r>
    <s v="Gigi Bohling"/>
    <x v="0"/>
    <x v="6"/>
    <x v="58"/>
    <x v="45"/>
    <n v="5.79"/>
    <n v="277.92"/>
    <x v="59"/>
  </r>
  <r>
    <s v="Curtice Advani"/>
    <x v="5"/>
    <x v="18"/>
    <x v="59"/>
    <x v="46"/>
    <n v="16.73"/>
    <n v="3463.11"/>
    <x v="60"/>
  </r>
  <r>
    <s v="Curtice Advani"/>
    <x v="2"/>
    <x v="1"/>
    <x v="60"/>
    <x v="47"/>
    <n v="8.65"/>
    <n v="77.850000000000009"/>
    <x v="61"/>
  </r>
  <r>
    <s v="Oby Sorrel"/>
    <x v="2"/>
    <x v="14"/>
    <x v="61"/>
    <x v="48"/>
    <n v="6.49"/>
    <n v="1693.89"/>
    <x v="62"/>
  </r>
  <r>
    <s v="Curtice Advani"/>
    <x v="4"/>
    <x v="10"/>
    <x v="62"/>
    <x v="49"/>
    <n v="8.7899999999999991"/>
    <n v="52.739999999999995"/>
    <x v="63"/>
  </r>
  <r>
    <s v="Brien Boise"/>
    <x v="0"/>
    <x v="16"/>
    <x v="63"/>
    <x v="26"/>
    <n v="11.73"/>
    <n v="351.90000000000003"/>
    <x v="64"/>
  </r>
  <r>
    <s v="Ches Bonnell"/>
    <x v="5"/>
    <x v="13"/>
    <x v="22"/>
    <x v="50"/>
    <n v="10.62"/>
    <n v="1465.56"/>
    <x v="65"/>
  </r>
  <r>
    <s v="Ches Bonnell"/>
    <x v="0"/>
    <x v="9"/>
    <x v="64"/>
    <x v="51"/>
    <n v="3.11"/>
    <n v="345.21"/>
    <x v="66"/>
  </r>
  <r>
    <s v="Gigi Bohling"/>
    <x v="1"/>
    <x v="3"/>
    <x v="42"/>
    <x v="25"/>
    <n v="6.47"/>
    <n v="97.05"/>
    <x v="67"/>
  </r>
  <r>
    <s v="Ram Mahesh"/>
    <x v="5"/>
    <x v="15"/>
    <x v="65"/>
    <x v="17"/>
    <n v="7.64"/>
    <n v="1237.6799999999998"/>
    <x v="68"/>
  </r>
  <r>
    <s v="Gigi Bohling"/>
    <x v="5"/>
    <x v="15"/>
    <x v="66"/>
    <x v="24"/>
    <n v="7.64"/>
    <n v="1489.8"/>
    <x v="69"/>
  </r>
  <r>
    <s v="Oby Sorrel"/>
    <x v="4"/>
    <x v="8"/>
    <x v="67"/>
    <x v="52"/>
    <n v="11.7"/>
    <n v="6142.5"/>
    <x v="70"/>
  </r>
  <r>
    <s v="Ches Bonnell"/>
    <x v="5"/>
    <x v="5"/>
    <x v="68"/>
    <x v="45"/>
    <n v="12.37"/>
    <n v="593.76"/>
    <x v="71"/>
  </r>
  <r>
    <s v="Husein Augar"/>
    <x v="5"/>
    <x v="19"/>
    <x v="69"/>
    <x v="53"/>
    <n v="10.38"/>
    <n v="1557.0000000000002"/>
    <x v="72"/>
  </r>
  <r>
    <s v="Husein Augar"/>
    <x v="5"/>
    <x v="13"/>
    <x v="70"/>
    <x v="54"/>
    <n v="10.62"/>
    <n v="5225.04"/>
    <x v="73"/>
  </r>
  <r>
    <s v="Gigi Bohling"/>
    <x v="5"/>
    <x v="12"/>
    <x v="71"/>
    <x v="27"/>
    <n v="7.16"/>
    <n v="730.32"/>
    <x v="74"/>
  </r>
  <r>
    <s v="Gunar Cockshoot"/>
    <x v="2"/>
    <x v="14"/>
    <x v="72"/>
    <x v="55"/>
    <n v="6.49"/>
    <n v="1070.8500000000001"/>
    <x v="75"/>
  </r>
  <r>
    <s v="Carla Molina"/>
    <x v="2"/>
    <x v="19"/>
    <x v="73"/>
    <x v="56"/>
    <n v="10.38"/>
    <n v="3207.42"/>
    <x v="76"/>
  </r>
  <r>
    <s v="Curtice Advani"/>
    <x v="2"/>
    <x v="9"/>
    <x v="74"/>
    <x v="39"/>
    <n v="3.11"/>
    <n v="485.15999999999997"/>
    <x v="77"/>
  </r>
  <r>
    <s v="Husein Augar"/>
    <x v="1"/>
    <x v="21"/>
    <x v="75"/>
    <x v="57"/>
    <n v="5.6"/>
    <n v="890.4"/>
    <x v="78"/>
  </r>
  <r>
    <s v="Gigi Bohling"/>
    <x v="1"/>
    <x v="16"/>
    <x v="76"/>
    <x v="58"/>
    <n v="11.73"/>
    <n v="2357.73"/>
    <x v="79"/>
  </r>
  <r>
    <s v="Brien Boise"/>
    <x v="3"/>
    <x v="6"/>
    <x v="77"/>
    <x v="7"/>
    <n v="5.79"/>
    <n v="1215.9000000000001"/>
    <x v="80"/>
  </r>
  <r>
    <s v="Barr Faughny"/>
    <x v="4"/>
    <x v="11"/>
    <x v="78"/>
    <x v="59"/>
    <n v="9.33"/>
    <n v="475.83"/>
    <x v="81"/>
  </r>
  <r>
    <s v="Gunar Cockshoot"/>
    <x v="2"/>
    <x v="4"/>
    <x v="47"/>
    <x v="40"/>
    <n v="13.15"/>
    <n v="512.85"/>
    <x v="82"/>
  </r>
  <r>
    <s v="Oby Sorrel"/>
    <x v="1"/>
    <x v="3"/>
    <x v="79"/>
    <x v="60"/>
    <n v="6.47"/>
    <n v="1805.1299999999999"/>
    <x v="83"/>
  </r>
  <r>
    <s v="Oby Sorrel"/>
    <x v="4"/>
    <x v="11"/>
    <x v="80"/>
    <x v="61"/>
    <n v="9.33"/>
    <n v="1147.5899999999999"/>
    <x v="84"/>
  </r>
  <r>
    <s v="Barr Faughny"/>
    <x v="3"/>
    <x v="18"/>
    <x v="81"/>
    <x v="62"/>
    <n v="16.73"/>
    <n v="1355.13"/>
    <x v="85"/>
  </r>
  <r>
    <s v="Ram Mahesh"/>
    <x v="0"/>
    <x v="15"/>
    <x v="16"/>
    <x v="33"/>
    <n v="7.64"/>
    <n v="160.44"/>
    <x v="86"/>
  </r>
  <r>
    <s v="Gunar Cockshoot"/>
    <x v="2"/>
    <x v="19"/>
    <x v="82"/>
    <x v="17"/>
    <n v="10.38"/>
    <n v="1681.5600000000002"/>
    <x v="87"/>
  </r>
  <r>
    <s v="Oby Sorrel"/>
    <x v="1"/>
    <x v="20"/>
    <x v="83"/>
    <x v="63"/>
    <n v="9"/>
    <n v="2052"/>
    <x v="88"/>
  </r>
  <r>
    <s v="Oby Sorrel"/>
    <x v="2"/>
    <x v="12"/>
    <x v="84"/>
    <x v="64"/>
    <n v="7.16"/>
    <n v="2448.7200000000003"/>
    <x v="89"/>
  </r>
  <r>
    <s v="Gigi Bohling"/>
    <x v="4"/>
    <x v="11"/>
    <x v="85"/>
    <x v="6"/>
    <n v="9.33"/>
    <n v="503.82"/>
    <x v="90"/>
  </r>
  <r>
    <s v="Carla Molina"/>
    <x v="1"/>
    <x v="19"/>
    <x v="86"/>
    <x v="65"/>
    <n v="10.38"/>
    <n v="2242.0800000000004"/>
    <x v="91"/>
  </r>
  <r>
    <s v="Gunar Cockshoot"/>
    <x v="5"/>
    <x v="21"/>
    <x v="87"/>
    <x v="6"/>
    <n v="5.6"/>
    <n v="302.39999999999998"/>
    <x v="92"/>
  </r>
  <r>
    <s v="Curtice Advani"/>
    <x v="4"/>
    <x v="4"/>
    <x v="88"/>
    <x v="8"/>
    <n v="13.15"/>
    <n v="986.25"/>
    <x v="93"/>
  </r>
  <r>
    <s v="Husein Augar"/>
    <x v="0"/>
    <x v="14"/>
    <x v="89"/>
    <x v="66"/>
    <n v="6.49"/>
    <n v="603.57000000000005"/>
    <x v="94"/>
  </r>
  <r>
    <s v="Husein Augar"/>
    <x v="0"/>
    <x v="4"/>
    <x v="90"/>
    <x v="39"/>
    <n v="13.15"/>
    <n v="2051.4"/>
    <x v="95"/>
  </r>
  <r>
    <s v="Husein Augar"/>
    <x v="4"/>
    <x v="9"/>
    <x v="91"/>
    <x v="47"/>
    <n v="3.11"/>
    <n v="27.99"/>
    <x v="96"/>
  </r>
  <r>
    <s v="Gunar Cockshoot"/>
    <x v="2"/>
    <x v="15"/>
    <x v="8"/>
    <x v="36"/>
    <n v="7.64"/>
    <n v="137.51999999999998"/>
    <x v="97"/>
  </r>
  <r>
    <s v="Ram Mahesh"/>
    <x v="1"/>
    <x v="1"/>
    <x v="92"/>
    <x v="13"/>
    <n v="8.65"/>
    <n v="2024.1000000000001"/>
    <x v="98"/>
  </r>
  <r>
    <s v="Gunar Cockshoot"/>
    <x v="5"/>
    <x v="19"/>
    <x v="93"/>
    <x v="67"/>
    <n v="10.38"/>
    <n v="3238.5600000000004"/>
    <x v="99"/>
  </r>
  <r>
    <s v="Ches Bonnell"/>
    <x v="2"/>
    <x v="15"/>
    <x v="94"/>
    <x v="68"/>
    <n v="7.64"/>
    <n v="2292"/>
    <x v="100"/>
  </r>
  <r>
    <s v="Barr Faughny"/>
    <x v="2"/>
    <x v="18"/>
    <x v="95"/>
    <x v="69"/>
    <n v="16.73"/>
    <n v="8682.8700000000008"/>
    <x v="101"/>
  </r>
  <r>
    <s v="Carla Molina"/>
    <x v="0"/>
    <x v="20"/>
    <x v="96"/>
    <x v="47"/>
    <n v="9"/>
    <n v="81"/>
    <x v="102"/>
  </r>
  <r>
    <s v="Gigi Bohling"/>
    <x v="1"/>
    <x v="2"/>
    <x v="97"/>
    <x v="47"/>
    <n v="11.88"/>
    <n v="106.92"/>
    <x v="103"/>
  </r>
  <r>
    <s v="Ram Mahesh"/>
    <x v="2"/>
    <x v="5"/>
    <x v="98"/>
    <x v="18"/>
    <n v="12.37"/>
    <n v="1113.3"/>
    <x v="104"/>
  </r>
  <r>
    <s v="Ches Bonnell"/>
    <x v="5"/>
    <x v="4"/>
    <x v="99"/>
    <x v="70"/>
    <n v="13.15"/>
    <n v="1262.4000000000001"/>
    <x v="105"/>
  </r>
  <r>
    <s v="Barr Faughny"/>
    <x v="2"/>
    <x v="10"/>
    <x v="100"/>
    <x v="33"/>
    <n v="8.7899999999999991"/>
    <n v="184.58999999999997"/>
    <x v="106"/>
  </r>
  <r>
    <s v="Ram Mahesh"/>
    <x v="5"/>
    <x v="21"/>
    <x v="101"/>
    <x v="45"/>
    <n v="5.6"/>
    <n v="268.79999999999995"/>
    <x v="107"/>
  </r>
  <r>
    <s v="Oby Sorrel"/>
    <x v="2"/>
    <x v="18"/>
    <x v="102"/>
    <x v="29"/>
    <n v="16.73"/>
    <n v="1204.56"/>
    <x v="108"/>
  </r>
  <r>
    <s v="Brien Boise"/>
    <x v="1"/>
    <x v="12"/>
    <x v="103"/>
    <x v="23"/>
    <n v="7.16"/>
    <n v="1202.8800000000001"/>
    <x v="109"/>
  </r>
  <r>
    <s v="Gigi Bohling"/>
    <x v="3"/>
    <x v="21"/>
    <x v="104"/>
    <x v="59"/>
    <n v="5.6"/>
    <n v="285.59999999999997"/>
    <x v="110"/>
  </r>
  <r>
    <s v="Carla Molina"/>
    <x v="2"/>
    <x v="15"/>
    <x v="105"/>
    <x v="71"/>
    <n v="7.64"/>
    <n v="1466.8799999999999"/>
    <x v="111"/>
  </r>
  <r>
    <s v="Ches Bonnell"/>
    <x v="0"/>
    <x v="8"/>
    <x v="106"/>
    <x v="72"/>
    <n v="11.7"/>
    <n v="2632.5"/>
    <x v="112"/>
  </r>
  <r>
    <s v="Curtice Advani"/>
    <x v="5"/>
    <x v="21"/>
    <x v="107"/>
    <x v="73"/>
    <n v="5.6"/>
    <n v="2553.6"/>
    <x v="113"/>
  </r>
  <r>
    <s v="Oby Sorrel"/>
    <x v="5"/>
    <x v="4"/>
    <x v="108"/>
    <x v="66"/>
    <n v="13.15"/>
    <n v="1222.95"/>
    <x v="114"/>
  </r>
  <r>
    <s v="Curtice Advani"/>
    <x v="5"/>
    <x v="2"/>
    <x v="109"/>
    <x v="45"/>
    <n v="11.88"/>
    <n v="570.24"/>
    <x v="115"/>
  </r>
  <r>
    <s v="Curtice Advani"/>
    <x v="0"/>
    <x v="3"/>
    <x v="110"/>
    <x v="27"/>
    <n v="6.47"/>
    <n v="659.93999999999994"/>
    <x v="116"/>
  </r>
  <r>
    <s v="Ches Bonnell"/>
    <x v="1"/>
    <x v="0"/>
    <x v="111"/>
    <x v="74"/>
    <n v="14.49"/>
    <n v="3651.48"/>
    <x v="117"/>
  </r>
  <r>
    <s v="Barr Faughny"/>
    <x v="0"/>
    <x v="3"/>
    <x v="112"/>
    <x v="50"/>
    <n v="6.47"/>
    <n v="892.86"/>
    <x v="118"/>
  </r>
  <r>
    <s v="Ram Mahesh"/>
    <x v="4"/>
    <x v="4"/>
    <x v="113"/>
    <x v="18"/>
    <n v="13.15"/>
    <n v="1183.5"/>
    <x v="119"/>
  </r>
  <r>
    <s v="Carla Molina"/>
    <x v="0"/>
    <x v="0"/>
    <x v="114"/>
    <x v="75"/>
    <n v="14.49"/>
    <n v="3477.6"/>
    <x v="120"/>
  </r>
  <r>
    <s v="Ram Mahesh"/>
    <x v="4"/>
    <x v="2"/>
    <x v="115"/>
    <x v="27"/>
    <n v="11.88"/>
    <n v="1211.76"/>
    <x v="121"/>
  </r>
  <r>
    <s v="Carla Molina"/>
    <x v="1"/>
    <x v="18"/>
    <x v="116"/>
    <x v="76"/>
    <n v="16.73"/>
    <n v="2158.17"/>
    <x v="122"/>
  </r>
  <r>
    <s v="Brien Boise"/>
    <x v="1"/>
    <x v="18"/>
    <x v="117"/>
    <x v="68"/>
    <n v="16.73"/>
    <n v="5019"/>
    <x v="123"/>
  </r>
  <r>
    <s v="Curtice Advani"/>
    <x v="4"/>
    <x v="5"/>
    <x v="2"/>
    <x v="32"/>
    <n v="12.37"/>
    <n v="1669.9499999999998"/>
    <x v="124"/>
  </r>
  <r>
    <s v="Ches Bonnell"/>
    <x v="1"/>
    <x v="17"/>
    <x v="118"/>
    <x v="0"/>
    <n v="4.97"/>
    <n v="566.57999999999993"/>
    <x v="125"/>
  </r>
  <r>
    <s v="Ches Bonnell"/>
    <x v="1"/>
    <x v="8"/>
    <x v="119"/>
    <x v="41"/>
    <n v="11.7"/>
    <n v="737.09999999999991"/>
    <x v="126"/>
  </r>
  <r>
    <s v="Ches Bonnell"/>
    <x v="2"/>
    <x v="12"/>
    <x v="120"/>
    <x v="74"/>
    <n v="7.16"/>
    <n v="1804.32"/>
    <x v="127"/>
  </r>
  <r>
    <s v="Oby Sorrel"/>
    <x v="2"/>
    <x v="1"/>
    <x v="121"/>
    <x v="77"/>
    <n v="8.65"/>
    <n v="2620.9500000000003"/>
    <x v="128"/>
  </r>
  <r>
    <s v="Ches Bonnell"/>
    <x v="3"/>
    <x v="9"/>
    <x v="122"/>
    <x v="78"/>
    <n v="3.11"/>
    <n v="765.06"/>
    <x v="129"/>
  </r>
  <r>
    <s v="Brien Boise"/>
    <x v="4"/>
    <x v="7"/>
    <x v="123"/>
    <x v="79"/>
    <n v="9.77"/>
    <n v="820.68"/>
    <x v="130"/>
  </r>
  <r>
    <s v="Ches Bonnell"/>
    <x v="5"/>
    <x v="9"/>
    <x v="56"/>
    <x v="40"/>
    <n v="3.11"/>
    <n v="121.28999999999999"/>
    <x v="131"/>
  </r>
  <r>
    <s v="Gigi Bohling"/>
    <x v="2"/>
    <x v="9"/>
    <x v="47"/>
    <x v="80"/>
    <n v="3.11"/>
    <n v="1082.28"/>
    <x v="132"/>
  </r>
  <r>
    <s v="Ches Bonnell"/>
    <x v="0"/>
    <x v="5"/>
    <x v="124"/>
    <x v="45"/>
    <n v="12.37"/>
    <n v="593.76"/>
    <x v="133"/>
  </r>
  <r>
    <s v="Gigi Bohling"/>
    <x v="0"/>
    <x v="7"/>
    <x v="125"/>
    <x v="8"/>
    <n v="9.77"/>
    <n v="732.75"/>
    <x v="134"/>
  </r>
  <r>
    <s v="Ches Bonnell"/>
    <x v="4"/>
    <x v="19"/>
    <x v="126"/>
    <x v="81"/>
    <n v="10.38"/>
    <n v="2678.0400000000004"/>
    <x v="135"/>
  </r>
  <r>
    <s v="Curtice Advani"/>
    <x v="3"/>
    <x v="9"/>
    <x v="127"/>
    <x v="82"/>
    <n v="3.11"/>
    <n v="83.97"/>
    <x v="136"/>
  </r>
  <r>
    <s v="Brien Boise"/>
    <x v="4"/>
    <x v="1"/>
    <x v="128"/>
    <x v="83"/>
    <n v="8.65"/>
    <n v="1842.45"/>
    <x v="137"/>
  </r>
  <r>
    <s v="Gigi Bohling"/>
    <x v="1"/>
    <x v="12"/>
    <x v="129"/>
    <x v="84"/>
    <n v="7.16"/>
    <n v="2556.12"/>
    <x v="138"/>
  </r>
  <r>
    <s v="Husein Augar"/>
    <x v="0"/>
    <x v="2"/>
    <x v="130"/>
    <x v="46"/>
    <n v="11.88"/>
    <n v="2459.1600000000003"/>
    <x v="139"/>
  </r>
  <r>
    <s v="Brien Boise"/>
    <x v="0"/>
    <x v="0"/>
    <x v="131"/>
    <x v="53"/>
    <n v="14.49"/>
    <n v="2173.5"/>
    <x v="140"/>
  </r>
  <r>
    <s v="Carla Molina"/>
    <x v="2"/>
    <x v="21"/>
    <x v="75"/>
    <x v="20"/>
    <n v="5.6"/>
    <n v="1142.3999999999999"/>
    <x v="141"/>
  </r>
  <r>
    <s v="Ches Bonnell"/>
    <x v="1"/>
    <x v="18"/>
    <x v="132"/>
    <x v="33"/>
    <n v="16.73"/>
    <n v="351.33"/>
    <x v="142"/>
  </r>
  <r>
    <s v="Carla Molina"/>
    <x v="5"/>
    <x v="5"/>
    <x v="133"/>
    <x v="85"/>
    <n v="12.37"/>
    <n v="2152.3799999999997"/>
    <x v="143"/>
  </r>
  <r>
    <s v="Barr Faughny"/>
    <x v="0"/>
    <x v="9"/>
    <x v="134"/>
    <x v="58"/>
    <n v="3.11"/>
    <n v="625.11"/>
    <x v="144"/>
  </r>
  <r>
    <s v="Brien Boise"/>
    <x v="4"/>
    <x v="11"/>
    <x v="135"/>
    <x v="86"/>
    <n v="9.33"/>
    <n v="4758.3"/>
    <x v="145"/>
  </r>
  <r>
    <s v="Curtice Advani"/>
    <x v="3"/>
    <x v="12"/>
    <x v="136"/>
    <x v="87"/>
    <n v="7.16"/>
    <n v="2706.48"/>
    <x v="146"/>
  </r>
  <r>
    <s v="Husein Augar"/>
    <x v="5"/>
    <x v="20"/>
    <x v="137"/>
    <x v="82"/>
    <n v="9"/>
    <n v="243"/>
    <x v="147"/>
  </r>
  <r>
    <s v="Barr Faughny"/>
    <x v="3"/>
    <x v="10"/>
    <x v="138"/>
    <x v="88"/>
    <n v="8.7899999999999991"/>
    <n v="1028.4299999999998"/>
    <x v="148"/>
  </r>
  <r>
    <s v="Curtice Advani"/>
    <x v="4"/>
    <x v="20"/>
    <x v="139"/>
    <x v="38"/>
    <n v="9"/>
    <n v="324"/>
    <x v="149"/>
  </r>
  <r>
    <s v="Brien Boise"/>
    <x v="1"/>
    <x v="5"/>
    <x v="140"/>
    <x v="89"/>
    <n v="12.37"/>
    <n v="1558.62"/>
    <x v="150"/>
  </r>
  <r>
    <s v="Husein Augar"/>
    <x v="3"/>
    <x v="4"/>
    <x v="141"/>
    <x v="29"/>
    <n v="13.15"/>
    <n v="946.80000000000007"/>
    <x v="151"/>
  </r>
  <r>
    <s v="Ches Bonnell"/>
    <x v="2"/>
    <x v="7"/>
    <x v="142"/>
    <x v="90"/>
    <n v="9.77"/>
    <n v="410.34"/>
    <x v="152"/>
  </r>
  <r>
    <s v="Ram Mahesh"/>
    <x v="3"/>
    <x v="12"/>
    <x v="143"/>
    <x v="32"/>
    <n v="7.16"/>
    <n v="966.6"/>
    <x v="153"/>
  </r>
  <r>
    <s v="Ches Bonnell"/>
    <x v="5"/>
    <x v="17"/>
    <x v="144"/>
    <x v="37"/>
    <n v="4.97"/>
    <n v="939.32999999999993"/>
    <x v="154"/>
  </r>
  <r>
    <s v="Curtice Advani"/>
    <x v="0"/>
    <x v="19"/>
    <x v="145"/>
    <x v="1"/>
    <n v="10.38"/>
    <n v="4764.42"/>
    <x v="155"/>
  </r>
  <r>
    <s v="Gigi Bohling"/>
    <x v="5"/>
    <x v="16"/>
    <x v="146"/>
    <x v="58"/>
    <n v="11.73"/>
    <n v="2357.73"/>
    <x v="156"/>
  </r>
  <r>
    <s v="Curtice Advani"/>
    <x v="5"/>
    <x v="0"/>
    <x v="147"/>
    <x v="91"/>
    <n v="14.49"/>
    <n v="5303.34"/>
    <x v="157"/>
  </r>
  <r>
    <s v="Gunar Cockshoot"/>
    <x v="0"/>
    <x v="12"/>
    <x v="148"/>
    <x v="92"/>
    <n v="7.16"/>
    <n v="2319.84"/>
    <x v="158"/>
  </r>
  <r>
    <s v="Husein Augar"/>
    <x v="1"/>
    <x v="16"/>
    <x v="149"/>
    <x v="93"/>
    <n v="11.73"/>
    <n v="2850.3900000000003"/>
    <x v="159"/>
  </r>
  <r>
    <s v="Barr Faughny"/>
    <x v="3"/>
    <x v="20"/>
    <x v="150"/>
    <x v="83"/>
    <n v="9"/>
    <n v="1917"/>
    <x v="160"/>
  </r>
  <r>
    <s v="Ram Mahesh"/>
    <x v="1"/>
    <x v="0"/>
    <x v="151"/>
    <x v="94"/>
    <n v="14.49"/>
    <n v="6477.03"/>
    <x v="161"/>
  </r>
  <r>
    <s v="Ram Mahesh"/>
    <x v="4"/>
    <x v="11"/>
    <x v="152"/>
    <x v="95"/>
    <n v="9.33"/>
    <n v="2771.01"/>
    <x v="162"/>
  </r>
  <r>
    <s v="Ches Bonnell"/>
    <x v="1"/>
    <x v="10"/>
    <x v="153"/>
    <x v="82"/>
    <n v="8.7899999999999991"/>
    <n v="237.32999999999998"/>
    <x v="163"/>
  </r>
  <r>
    <s v="Ram Mahesh"/>
    <x v="5"/>
    <x v="14"/>
    <x v="154"/>
    <x v="8"/>
    <n v="6.49"/>
    <n v="486.75"/>
    <x v="164"/>
  </r>
  <r>
    <s v="Oby Sorrel"/>
    <x v="3"/>
    <x v="5"/>
    <x v="155"/>
    <x v="26"/>
    <n v="12.37"/>
    <n v="371.09999999999997"/>
    <x v="165"/>
  </r>
  <r>
    <s v="Ches Bonnell"/>
    <x v="2"/>
    <x v="3"/>
    <x v="12"/>
    <x v="96"/>
    <n v="6.47"/>
    <n v="1145.19"/>
    <x v="166"/>
  </r>
  <r>
    <s v="Ram Mahesh"/>
    <x v="5"/>
    <x v="5"/>
    <x v="156"/>
    <x v="57"/>
    <n v="12.37"/>
    <n v="1966.83"/>
    <x v="167"/>
  </r>
  <r>
    <s v="Gunar Cockshoot"/>
    <x v="1"/>
    <x v="5"/>
    <x v="135"/>
    <x v="97"/>
    <n v="12.37"/>
    <n v="3785.22"/>
    <x v="168"/>
  </r>
  <r>
    <s v="Gunar Cockshoot"/>
    <x v="5"/>
    <x v="13"/>
    <x v="157"/>
    <x v="36"/>
    <n v="10.62"/>
    <n v="191.16"/>
    <x v="169"/>
  </r>
  <r>
    <s v="Ches Bonnell"/>
    <x v="1"/>
    <x v="15"/>
    <x v="158"/>
    <x v="75"/>
    <n v="7.64"/>
    <n v="1833.6"/>
    <x v="170"/>
  </r>
  <r>
    <s v="Gigi Bohling"/>
    <x v="5"/>
    <x v="5"/>
    <x v="159"/>
    <x v="66"/>
    <n v="12.37"/>
    <n v="1150.4099999999999"/>
    <x v="171"/>
  </r>
  <r>
    <s v="Oby Sorrel"/>
    <x v="5"/>
    <x v="21"/>
    <x v="9"/>
    <x v="47"/>
    <n v="5.6"/>
    <n v="50.4"/>
    <x v="172"/>
  </r>
  <r>
    <s v="Brien Boise"/>
    <x v="5"/>
    <x v="10"/>
    <x v="160"/>
    <x v="98"/>
    <n v="8.7899999999999991"/>
    <n v="1925.0099999999998"/>
    <x v="173"/>
  </r>
  <r>
    <s v="Barr Faughny"/>
    <x v="3"/>
    <x v="7"/>
    <x v="99"/>
    <x v="19"/>
    <n v="9.77"/>
    <n v="1377.57"/>
    <x v="174"/>
  </r>
  <r>
    <s v="Carla Molina"/>
    <x v="0"/>
    <x v="13"/>
    <x v="161"/>
    <x v="61"/>
    <n v="10.62"/>
    <n v="1306.26"/>
    <x v="175"/>
  </r>
  <r>
    <s v="Ram Mahesh"/>
    <x v="4"/>
    <x v="17"/>
    <x v="162"/>
    <x v="59"/>
    <n v="4.97"/>
    <n v="253.47"/>
    <x v="176"/>
  </r>
  <r>
    <s v="Curtice Advani"/>
    <x v="2"/>
    <x v="2"/>
    <x v="163"/>
    <x v="12"/>
    <n v="11.88"/>
    <n v="1425.6000000000001"/>
    <x v="177"/>
  </r>
  <r>
    <s v="Brien Boise"/>
    <x v="3"/>
    <x v="21"/>
    <x v="164"/>
    <x v="82"/>
    <n v="5.6"/>
    <n v="151.19999999999999"/>
    <x v="178"/>
  </r>
  <r>
    <s v="Husein Augar"/>
    <x v="2"/>
    <x v="18"/>
    <x v="165"/>
    <x v="20"/>
    <n v="16.73"/>
    <n v="3412.92"/>
    <x v="179"/>
  </r>
  <r>
    <s v="Curtice Advani"/>
    <x v="4"/>
    <x v="11"/>
    <x v="61"/>
    <x v="61"/>
    <n v="9.33"/>
    <n v="1147.5899999999999"/>
    <x v="180"/>
  </r>
  <r>
    <s v="Oby Sorrel"/>
    <x v="0"/>
    <x v="19"/>
    <x v="166"/>
    <x v="82"/>
    <n v="10.38"/>
    <n v="280.26000000000005"/>
    <x v="181"/>
  </r>
  <r>
    <s v="Carla Molina"/>
    <x v="0"/>
    <x v="21"/>
    <x v="167"/>
    <x v="96"/>
    <n v="5.6"/>
    <n v="991.19999999999993"/>
    <x v="182"/>
  </r>
  <r>
    <s v="Gunar Cockshoot"/>
    <x v="3"/>
    <x v="21"/>
    <x v="168"/>
    <x v="99"/>
    <n v="5.6"/>
    <n v="957.59999999999991"/>
    <x v="183"/>
  </r>
  <r>
    <s v="Oby Sorrel"/>
    <x v="5"/>
    <x v="15"/>
    <x v="169"/>
    <x v="20"/>
    <n v="7.64"/>
    <n v="1558.56"/>
    <x v="184"/>
  </r>
  <r>
    <s v="Gunar Cockshoot"/>
    <x v="5"/>
    <x v="8"/>
    <x v="170"/>
    <x v="100"/>
    <n v="11.7"/>
    <n v="3229.2"/>
    <x v="185"/>
  </r>
  <r>
    <s v="Brien Boise"/>
    <x v="0"/>
    <x v="21"/>
    <x v="171"/>
    <x v="101"/>
    <n v="5.6"/>
    <n v="251.99999999999997"/>
    <x v="186"/>
  </r>
  <r>
    <s v="Ram Mahesh"/>
    <x v="4"/>
    <x v="12"/>
    <x v="113"/>
    <x v="101"/>
    <n v="7.16"/>
    <n v="322.2"/>
    <x v="187"/>
  </r>
  <r>
    <s v="Curtice Advani"/>
    <x v="1"/>
    <x v="18"/>
    <x v="172"/>
    <x v="96"/>
    <n v="16.73"/>
    <n v="2961.21"/>
    <x v="188"/>
  </r>
  <r>
    <s v="Gigi Bohling"/>
    <x v="2"/>
    <x v="11"/>
    <x v="173"/>
    <x v="41"/>
    <n v="9.33"/>
    <n v="587.79"/>
    <x v="189"/>
  </r>
  <r>
    <s v="Husein Augar"/>
    <x v="3"/>
    <x v="3"/>
    <x v="174"/>
    <x v="20"/>
    <n v="6.47"/>
    <n v="1319.8799999999999"/>
    <x v="190"/>
  </r>
  <r>
    <s v="Brien Boise"/>
    <x v="0"/>
    <x v="7"/>
    <x v="175"/>
    <x v="24"/>
    <n v="9.77"/>
    <n v="1905.1499999999999"/>
    <x v="191"/>
  </r>
  <r>
    <s v="Ches Bonnell"/>
    <x v="5"/>
    <x v="8"/>
    <x v="176"/>
    <x v="102"/>
    <n v="11.7"/>
    <n v="4317.3"/>
    <x v="192"/>
  </r>
  <r>
    <s v="Gunar Cockshoot"/>
    <x v="5"/>
    <x v="4"/>
    <x v="177"/>
    <x v="90"/>
    <n v="13.15"/>
    <n v="552.30000000000007"/>
    <x v="193"/>
  </r>
  <r>
    <s v="Curtice Advani"/>
    <x v="0"/>
    <x v="0"/>
    <x v="178"/>
    <x v="62"/>
    <n v="14.49"/>
    <n v="1173.69"/>
    <x v="194"/>
  </r>
  <r>
    <s v="Husein Augar"/>
    <x v="0"/>
    <x v="21"/>
    <x v="179"/>
    <x v="78"/>
    <n v="5.6"/>
    <n v="1377.6"/>
    <x v="195"/>
  </r>
  <r>
    <s v="Husein Augar"/>
    <x v="5"/>
    <x v="9"/>
    <x v="180"/>
    <x v="85"/>
    <n v="3.11"/>
    <n v="541.14"/>
    <x v="196"/>
  </r>
  <r>
    <s v="Brien Boise"/>
    <x v="1"/>
    <x v="0"/>
    <x v="181"/>
    <x v="62"/>
    <n v="14.49"/>
    <n v="1173.69"/>
    <x v="197"/>
  </r>
  <r>
    <s v="Ram Mahesh"/>
    <x v="1"/>
    <x v="7"/>
    <x v="182"/>
    <x v="103"/>
    <n v="9.77"/>
    <n v="3634.44"/>
    <x v="198"/>
  </r>
  <r>
    <s v="Ram Mahesh"/>
    <x v="1"/>
    <x v="10"/>
    <x v="183"/>
    <x v="85"/>
    <n v="8.7899999999999991"/>
    <n v="1529.4599999999998"/>
    <x v="199"/>
  </r>
  <r>
    <s v="Carla Molina"/>
    <x v="2"/>
    <x v="1"/>
    <x v="184"/>
    <x v="79"/>
    <n v="8.65"/>
    <n v="726.6"/>
    <x v="200"/>
  </r>
  <r>
    <s v="Carla Molina"/>
    <x v="5"/>
    <x v="10"/>
    <x v="185"/>
    <x v="72"/>
    <n v="8.7899999999999991"/>
    <n v="1977.7499999999998"/>
    <x v="201"/>
  </r>
  <r>
    <s v="Gigi Bohling"/>
    <x v="2"/>
    <x v="0"/>
    <x v="114"/>
    <x v="104"/>
    <n v="14.49"/>
    <n v="1521.45"/>
    <x v="202"/>
  </r>
  <r>
    <s v="Ram Mahesh"/>
    <x v="3"/>
    <x v="19"/>
    <x v="186"/>
    <x v="72"/>
    <n v="10.38"/>
    <n v="2335.5"/>
    <x v="203"/>
  </r>
  <r>
    <s v="Barr Faughny"/>
    <x v="0"/>
    <x v="8"/>
    <x v="187"/>
    <x v="6"/>
    <n v="11.7"/>
    <n v="631.79999999999995"/>
    <x v="204"/>
  </r>
  <r>
    <s v="Gigi Bohling"/>
    <x v="3"/>
    <x v="17"/>
    <x v="65"/>
    <x v="99"/>
    <n v="4.97"/>
    <n v="849.87"/>
    <x v="205"/>
  </r>
  <r>
    <s v="Husein Augar"/>
    <x v="5"/>
    <x v="10"/>
    <x v="62"/>
    <x v="37"/>
    <n v="8.7899999999999991"/>
    <n v="1661.31"/>
    <x v="206"/>
  </r>
  <r>
    <s v="Ches Bonnell"/>
    <x v="4"/>
    <x v="3"/>
    <x v="188"/>
    <x v="105"/>
    <n v="6.47"/>
    <n v="1746.8999999999999"/>
    <x v="207"/>
  </r>
  <r>
    <s v="Curtice Advani"/>
    <x v="3"/>
    <x v="0"/>
    <x v="189"/>
    <x v="41"/>
    <n v="14.49"/>
    <n v="912.87"/>
    <x v="208"/>
  </r>
  <r>
    <s v="Carla Molina"/>
    <x v="4"/>
    <x v="4"/>
    <x v="190"/>
    <x v="33"/>
    <n v="13.15"/>
    <n v="276.15000000000003"/>
    <x v="209"/>
  </r>
  <r>
    <s v="Ches Bonnell"/>
    <x v="0"/>
    <x v="7"/>
    <x v="191"/>
    <x v="46"/>
    <n v="9.77"/>
    <n v="2022.3899999999999"/>
    <x v="210"/>
  </r>
  <r>
    <s v="Husein Augar"/>
    <x v="0"/>
    <x v="13"/>
    <x v="192"/>
    <x v="70"/>
    <n v="10.62"/>
    <n v="1019.52"/>
    <x v="211"/>
  </r>
  <r>
    <s v="Gigi Bohling"/>
    <x v="3"/>
    <x v="7"/>
    <x v="193"/>
    <x v="62"/>
    <n v="9.77"/>
    <n v="791.37"/>
    <x v="212"/>
  </r>
  <r>
    <s v="Husein Augar"/>
    <x v="3"/>
    <x v="17"/>
    <x v="194"/>
    <x v="97"/>
    <n v="4.97"/>
    <n v="1520.82"/>
    <x v="213"/>
  </r>
  <r>
    <s v="Oby Sorrel"/>
    <x v="3"/>
    <x v="20"/>
    <x v="195"/>
    <x v="60"/>
    <n v="9"/>
    <n v="2511"/>
    <x v="214"/>
  </r>
  <r>
    <s v="Barr Faughny"/>
    <x v="4"/>
    <x v="2"/>
    <x v="196"/>
    <x v="106"/>
    <n v="11.88"/>
    <n v="35.64"/>
    <x v="215"/>
  </r>
  <r>
    <s v="Ches Bonnell"/>
    <x v="3"/>
    <x v="18"/>
    <x v="197"/>
    <x v="107"/>
    <n v="16.73"/>
    <n v="3312.54"/>
    <x v="216"/>
  </r>
  <r>
    <s v="Gigi Bohling"/>
    <x v="3"/>
    <x v="3"/>
    <x v="198"/>
    <x v="108"/>
    <n v="6.47"/>
    <n v="1611.03"/>
    <x v="217"/>
  </r>
  <r>
    <s v="Curtice Advani"/>
    <x v="5"/>
    <x v="10"/>
    <x v="199"/>
    <x v="8"/>
    <n v="8.7899999999999991"/>
    <n v="659.24999999999989"/>
    <x v="218"/>
  </r>
  <r>
    <s v="Husein Augar"/>
    <x v="2"/>
    <x v="1"/>
    <x v="200"/>
    <x v="37"/>
    <n v="8.65"/>
    <n v="1634.8500000000001"/>
    <x v="219"/>
  </r>
  <r>
    <s v="Ches Bonnell"/>
    <x v="2"/>
    <x v="1"/>
    <x v="201"/>
    <x v="15"/>
    <n v="8.65"/>
    <n v="752.55000000000007"/>
    <x v="220"/>
  </r>
  <r>
    <s v="Carla Molina"/>
    <x v="2"/>
    <x v="0"/>
    <x v="60"/>
    <x v="85"/>
    <n v="14.49"/>
    <n v="2521.2600000000002"/>
    <x v="221"/>
  </r>
  <r>
    <s v="Barr Faughny"/>
    <x v="3"/>
    <x v="16"/>
    <x v="202"/>
    <x v="38"/>
    <n v="11.73"/>
    <n v="422.28000000000003"/>
    <x v="222"/>
  </r>
  <r>
    <s v="Husein Augar"/>
    <x v="4"/>
    <x v="17"/>
    <x v="203"/>
    <x v="109"/>
    <n v="4.97"/>
    <n v="298.2"/>
    <x v="223"/>
  </r>
  <r>
    <s v="Gunar Cockshoot"/>
    <x v="1"/>
    <x v="14"/>
    <x v="103"/>
    <x v="110"/>
    <n v="6.49"/>
    <n v="506.22"/>
    <x v="224"/>
  </r>
  <r>
    <s v="Husein Augar"/>
    <x v="2"/>
    <x v="0"/>
    <x v="204"/>
    <x v="111"/>
    <n v="14.49"/>
    <n v="825.93000000000006"/>
    <x v="225"/>
  </r>
  <r>
    <s v="Husein Augar"/>
    <x v="0"/>
    <x v="19"/>
    <x v="205"/>
    <x v="101"/>
    <n v="10.38"/>
    <n v="467.1"/>
    <x v="226"/>
  </r>
  <r>
    <s v="Carla Molina"/>
    <x v="4"/>
    <x v="7"/>
    <x v="206"/>
    <x v="106"/>
    <n v="9.77"/>
    <n v="29.31"/>
    <x v="227"/>
  </r>
  <r>
    <s v="Oby Sorrel"/>
    <x v="1"/>
    <x v="16"/>
    <x v="207"/>
    <x v="49"/>
    <n v="11.73"/>
    <n v="70.38"/>
    <x v="228"/>
  </r>
  <r>
    <s v="Gigi Bohling"/>
    <x v="0"/>
    <x v="4"/>
    <x v="208"/>
    <x v="33"/>
    <n v="13.15"/>
    <n v="276.15000000000003"/>
    <x v="229"/>
  </r>
  <r>
    <s v="Gigi Bohling"/>
    <x v="2"/>
    <x v="3"/>
    <x v="209"/>
    <x v="106"/>
    <n v="6.47"/>
    <n v="19.41"/>
    <x v="230"/>
  </r>
  <r>
    <s v="Brien Boise"/>
    <x v="5"/>
    <x v="6"/>
    <x v="210"/>
    <x v="3"/>
    <n v="5.79"/>
    <n v="1667.52"/>
    <x v="231"/>
  </r>
  <r>
    <s v="Curtice Advani"/>
    <x v="2"/>
    <x v="11"/>
    <x v="211"/>
    <x v="26"/>
    <n v="9.33"/>
    <n v="279.89999999999998"/>
    <x v="232"/>
  </r>
  <r>
    <s v="Ram Mahesh"/>
    <x v="4"/>
    <x v="21"/>
    <x v="212"/>
    <x v="15"/>
    <n v="5.6"/>
    <n v="487.2"/>
    <x v="233"/>
  </r>
  <r>
    <s v="Ram Mahesh"/>
    <x v="3"/>
    <x v="18"/>
    <x v="213"/>
    <x v="26"/>
    <n v="16.73"/>
    <n v="501.90000000000003"/>
    <x v="234"/>
  </r>
  <r>
    <s v="Gigi Bohling"/>
    <x v="4"/>
    <x v="15"/>
    <x v="214"/>
    <x v="23"/>
    <n v="7.64"/>
    <n v="1283.52"/>
    <x v="235"/>
  </r>
  <r>
    <s v="Ram Mahesh"/>
    <x v="2"/>
    <x v="18"/>
    <x v="215"/>
    <x v="97"/>
    <n v="16.73"/>
    <n v="5119.38"/>
    <x v="236"/>
  </r>
  <r>
    <s v="Curtice Advani"/>
    <x v="1"/>
    <x v="2"/>
    <x v="216"/>
    <x v="112"/>
    <n v="11.88"/>
    <n v="4775.76"/>
    <x v="237"/>
  </r>
  <r>
    <s v="Gunar Cockshoot"/>
    <x v="0"/>
    <x v="19"/>
    <x v="217"/>
    <x v="113"/>
    <n v="10.38"/>
    <n v="3394.26"/>
    <x v="238"/>
  </r>
  <r>
    <s v="Ram Mahesh"/>
    <x v="0"/>
    <x v="18"/>
    <x v="218"/>
    <x v="66"/>
    <n v="16.73"/>
    <n v="1555.89"/>
    <x v="239"/>
  </r>
  <r>
    <s v="Oby Sorrel"/>
    <x v="1"/>
    <x v="8"/>
    <x v="219"/>
    <x v="70"/>
    <n v="11.7"/>
    <n v="1123.1999999999998"/>
    <x v="240"/>
  </r>
  <r>
    <s v="Brien Boise"/>
    <x v="3"/>
    <x v="3"/>
    <x v="220"/>
    <x v="82"/>
    <n v="6.47"/>
    <n v="174.69"/>
    <x v="241"/>
  </r>
  <r>
    <s v="Husein Augar"/>
    <x v="4"/>
    <x v="21"/>
    <x v="221"/>
    <x v="114"/>
    <n v="5.6"/>
    <n v="554.4"/>
    <x v="242"/>
  </r>
  <r>
    <s v="Husein Augar"/>
    <x v="4"/>
    <x v="5"/>
    <x v="222"/>
    <x v="15"/>
    <n v="12.37"/>
    <n v="1076.1899999999998"/>
    <x v="243"/>
  </r>
  <r>
    <s v="Oby Sorrel"/>
    <x v="0"/>
    <x v="20"/>
    <x v="223"/>
    <x v="3"/>
    <n v="9"/>
    <n v="2592"/>
    <x v="244"/>
  </r>
  <r>
    <s v="Brien Boise"/>
    <x v="1"/>
    <x v="13"/>
    <x v="224"/>
    <x v="115"/>
    <n v="10.62"/>
    <n v="3855.0599999999995"/>
    <x v="245"/>
  </r>
  <r>
    <s v="Oby Sorrel"/>
    <x v="5"/>
    <x v="9"/>
    <x v="225"/>
    <x v="15"/>
    <n v="3.11"/>
    <n v="270.57"/>
    <x v="246"/>
  </r>
  <r>
    <s v="Curtice Advani"/>
    <x v="5"/>
    <x v="9"/>
    <x v="226"/>
    <x v="53"/>
    <n v="3.11"/>
    <n v="466.5"/>
    <x v="247"/>
  </r>
  <r>
    <s v="Barr Faughny"/>
    <x v="1"/>
    <x v="9"/>
    <x v="227"/>
    <x v="77"/>
    <n v="3.11"/>
    <n v="942.32999999999993"/>
    <x v="248"/>
  </r>
  <r>
    <s v="Ches Bonnell"/>
    <x v="1"/>
    <x v="19"/>
    <x v="228"/>
    <x v="3"/>
    <n v="10.38"/>
    <n v="2989.44"/>
    <x v="249"/>
  </r>
  <r>
    <s v="Oby Sorrel"/>
    <x v="2"/>
    <x v="11"/>
    <x v="229"/>
    <x v="8"/>
    <n v="9.33"/>
    <n v="699.75"/>
    <x v="250"/>
  </r>
  <r>
    <s v="Ram Mahesh"/>
    <x v="4"/>
    <x v="6"/>
    <x v="230"/>
    <x v="40"/>
    <n v="5.79"/>
    <n v="225.81"/>
    <x v="251"/>
  </r>
  <r>
    <s v="Curtice Advani"/>
    <x v="5"/>
    <x v="1"/>
    <x v="231"/>
    <x v="61"/>
    <n v="8.65"/>
    <n v="1063.95"/>
    <x v="252"/>
  </r>
  <r>
    <s v="Ram Mahesh"/>
    <x v="2"/>
    <x v="2"/>
    <x v="232"/>
    <x v="38"/>
    <n v="11.88"/>
    <n v="427.68"/>
    <x v="253"/>
  </r>
  <r>
    <s v="Gigi Bohling"/>
    <x v="5"/>
    <x v="7"/>
    <x v="171"/>
    <x v="116"/>
    <n v="9.77"/>
    <n v="2315.4899999999998"/>
    <x v="254"/>
  </r>
  <r>
    <s v="Ram Mahesh"/>
    <x v="2"/>
    <x v="11"/>
    <x v="233"/>
    <x v="58"/>
    <n v="9.33"/>
    <n v="1875.33"/>
    <x v="255"/>
  </r>
  <r>
    <s v="Barr Faughny"/>
    <x v="2"/>
    <x v="9"/>
    <x v="234"/>
    <x v="45"/>
    <n v="3.11"/>
    <n v="149.28"/>
    <x v="256"/>
  </r>
  <r>
    <s v="Gigi Bohling"/>
    <x v="1"/>
    <x v="7"/>
    <x v="235"/>
    <x v="79"/>
    <n v="9.77"/>
    <n v="820.68"/>
    <x v="257"/>
  </r>
  <r>
    <s v="Brien Boise"/>
    <x v="0"/>
    <x v="20"/>
    <x v="236"/>
    <x v="15"/>
    <n v="9"/>
    <n v="783"/>
    <x v="258"/>
  </r>
  <r>
    <s v="Ches Bonnell"/>
    <x v="4"/>
    <x v="0"/>
    <x v="237"/>
    <x v="67"/>
    <n v="14.49"/>
    <n v="4520.88"/>
    <x v="259"/>
  </r>
  <r>
    <s v="Gunar Cockshoot"/>
    <x v="3"/>
    <x v="19"/>
    <x v="159"/>
    <x v="27"/>
    <n v="10.38"/>
    <n v="1058.76"/>
    <x v="260"/>
  </r>
  <r>
    <s v="Brien Boise"/>
    <x v="4"/>
    <x v="20"/>
    <x v="238"/>
    <x v="110"/>
    <n v="9"/>
    <n v="702"/>
    <x v="261"/>
  </r>
  <r>
    <s v="Gunar Cockshoot"/>
    <x v="5"/>
    <x v="14"/>
    <x v="239"/>
    <x v="88"/>
    <n v="6.49"/>
    <n v="759.33"/>
    <x v="262"/>
  </r>
  <r>
    <s v="Carla Molina"/>
    <x v="1"/>
    <x v="15"/>
    <x v="212"/>
    <x v="114"/>
    <n v="7.64"/>
    <n v="756.36"/>
    <x v="263"/>
  </r>
  <r>
    <s v="Ram Mahesh"/>
    <x v="1"/>
    <x v="17"/>
    <x v="189"/>
    <x v="45"/>
    <n v="4.97"/>
    <n v="238.56"/>
    <x v="264"/>
  </r>
  <r>
    <s v="Ches Bonnell"/>
    <x v="5"/>
    <x v="16"/>
    <x v="240"/>
    <x v="117"/>
    <n v="11.73"/>
    <n v="281.52"/>
    <x v="265"/>
  </r>
  <r>
    <s v="Ram Mahesh"/>
    <x v="3"/>
    <x v="16"/>
    <x v="241"/>
    <x v="90"/>
    <n v="11.73"/>
    <n v="492.66"/>
    <x v="266"/>
  </r>
  <r>
    <s v="Curtice Advani"/>
    <x v="1"/>
    <x v="13"/>
    <x v="242"/>
    <x v="105"/>
    <n v="10.62"/>
    <n v="2867.3999999999996"/>
    <x v="267"/>
  </r>
  <r>
    <s v="Brien Boise"/>
    <x v="2"/>
    <x v="14"/>
    <x v="48"/>
    <x v="53"/>
    <n v="6.49"/>
    <n v="973.5"/>
    <x v="268"/>
  </r>
  <r>
    <s v="Barr Faughny"/>
    <x v="0"/>
    <x v="16"/>
    <x v="243"/>
    <x v="90"/>
    <n v="11.73"/>
    <n v="492.66"/>
    <x v="269"/>
  </r>
  <r>
    <s v="Ram Mahesh"/>
    <x v="1"/>
    <x v="12"/>
    <x v="244"/>
    <x v="89"/>
    <n v="7.16"/>
    <n v="902.16"/>
    <x v="270"/>
  </r>
  <r>
    <s v="Curtice Advani"/>
    <x v="0"/>
    <x v="21"/>
    <x v="245"/>
    <x v="49"/>
    <n v="5.6"/>
    <n v="33.599999999999994"/>
    <x v="271"/>
  </r>
  <r>
    <s v="Gunar Cockshoot"/>
    <x v="1"/>
    <x v="16"/>
    <x v="121"/>
    <x v="100"/>
    <n v="11.73"/>
    <n v="3237.48"/>
    <x v="272"/>
  </r>
  <r>
    <s v="Gunar Cockshoot"/>
    <x v="5"/>
    <x v="9"/>
    <x v="205"/>
    <x v="66"/>
    <n v="3.11"/>
    <n v="289.22999999999996"/>
    <x v="273"/>
  </r>
  <r>
    <s v="Barr Faughny"/>
    <x v="2"/>
    <x v="6"/>
    <x v="246"/>
    <x v="78"/>
    <n v="5.79"/>
    <n v="1424.34"/>
    <x v="274"/>
  </r>
  <r>
    <s v="Curtice Advani"/>
    <x v="3"/>
    <x v="17"/>
    <x v="247"/>
    <x v="106"/>
    <n v="4.97"/>
    <n v="14.91"/>
    <x v="275"/>
  </r>
  <r>
    <s v="Brien Boise"/>
    <x v="4"/>
    <x v="18"/>
    <x v="248"/>
    <x v="41"/>
    <n v="16.73"/>
    <n v="1053.99"/>
    <x v="276"/>
  </r>
  <r>
    <s v="Gigi Bohling"/>
    <x v="1"/>
    <x v="6"/>
    <x v="117"/>
    <x v="78"/>
    <n v="5.79"/>
    <n v="1424.34"/>
    <x v="277"/>
  </r>
  <r>
    <s v="Barr Faughny"/>
    <x v="5"/>
    <x v="15"/>
    <x v="249"/>
    <x v="12"/>
    <n v="7.64"/>
    <n v="916.8"/>
    <x v="278"/>
  </r>
  <r>
    <s v="Barr Faughny"/>
    <x v="4"/>
    <x v="6"/>
    <x v="250"/>
    <x v="80"/>
    <n v="5.79"/>
    <n v="2014.92"/>
    <x v="279"/>
  </r>
  <r>
    <s v="Carla Molina"/>
    <x v="5"/>
    <x v="14"/>
    <x v="251"/>
    <x v="89"/>
    <n v="6.49"/>
    <n v="817.74"/>
    <x v="280"/>
  </r>
  <r>
    <s v="Curtice Advani"/>
    <x v="1"/>
    <x v="0"/>
    <x v="252"/>
    <x v="61"/>
    <n v="14.49"/>
    <n v="1782.27"/>
    <x v="281"/>
  </r>
  <r>
    <s v="Gigi Bohling"/>
    <x v="4"/>
    <x v="4"/>
    <x v="253"/>
    <x v="101"/>
    <n v="13.15"/>
    <n v="591.75"/>
    <x v="282"/>
  </r>
  <r>
    <s v="Oby Sorrel"/>
    <x v="4"/>
    <x v="2"/>
    <x v="254"/>
    <x v="89"/>
    <n v="11.88"/>
    <n v="1496.88"/>
    <x v="283"/>
  </r>
  <r>
    <s v="Ram Mahesh"/>
    <x v="0"/>
    <x v="12"/>
    <x v="255"/>
    <x v="29"/>
    <n v="7.16"/>
    <n v="515.52"/>
    <x v="284"/>
  </r>
  <r>
    <s v="Curtice Advani"/>
    <x v="2"/>
    <x v="12"/>
    <x v="256"/>
    <x v="32"/>
    <n v="7.16"/>
    <n v="966.6"/>
    <x v="285"/>
  </r>
  <r>
    <s v="Oby Sorrel"/>
    <x v="5"/>
    <x v="7"/>
    <x v="257"/>
    <x v="117"/>
    <n v="9.77"/>
    <n v="234.48"/>
    <x v="286"/>
  </r>
  <r>
    <s v="Ches Bonnell"/>
    <x v="2"/>
    <x v="6"/>
    <x v="258"/>
    <x v="88"/>
    <n v="5.79"/>
    <n v="677.43"/>
    <x v="287"/>
  </r>
  <r>
    <s v="Gunar Cockshoot"/>
    <x v="3"/>
    <x v="12"/>
    <x v="259"/>
    <x v="59"/>
    <n v="7.16"/>
    <n v="365.16"/>
    <x v="288"/>
  </r>
  <r>
    <s v="Barr Faughny"/>
    <x v="3"/>
    <x v="14"/>
    <x v="260"/>
    <x v="38"/>
    <n v="6.49"/>
    <n v="233.64000000000001"/>
    <x v="289"/>
  </r>
  <r>
    <s v="Husein Augar"/>
    <x v="1"/>
    <x v="18"/>
    <x v="261"/>
    <x v="11"/>
    <n v="16.73"/>
    <n v="2409.12"/>
    <x v="290"/>
  </r>
  <r>
    <s v="Husein Augar"/>
    <x v="2"/>
    <x v="4"/>
    <x v="262"/>
    <x v="0"/>
    <n v="13.15"/>
    <n v="1499.1000000000001"/>
    <x v="291"/>
  </r>
  <r>
    <s v="Ches Bonnell"/>
    <x v="0"/>
    <x v="0"/>
    <x v="263"/>
    <x v="6"/>
    <n v="14.49"/>
    <n v="782.46"/>
    <x v="292"/>
  </r>
  <r>
    <s v="Ches Bonnell"/>
    <x v="0"/>
    <x v="10"/>
    <x v="64"/>
    <x v="118"/>
    <n v="8.7899999999999991"/>
    <n v="2927.0699999999997"/>
    <x v="293"/>
  </r>
  <r>
    <s v="Gunar Cockshoot"/>
    <x v="0"/>
    <x v="2"/>
    <x v="62"/>
    <x v="91"/>
    <n v="11.88"/>
    <n v="4348.08"/>
    <x v="294"/>
  </r>
  <r>
    <s v="Gunar Cockshoot"/>
    <x v="4"/>
    <x v="21"/>
    <x v="264"/>
    <x v="77"/>
    <n v="5.6"/>
    <n v="1696.8"/>
    <x v="295"/>
  </r>
  <r>
    <s v="Barr Faughny"/>
    <x v="3"/>
    <x v="5"/>
    <x v="65"/>
    <x v="89"/>
    <n v="12.37"/>
    <n v="1558.62"/>
    <x v="296"/>
  </r>
  <r>
    <s v="Carla Molina"/>
    <x v="0"/>
    <x v="16"/>
    <x v="265"/>
    <x v="22"/>
    <n v="11.73"/>
    <n v="2709.63"/>
    <x v="297"/>
  </r>
  <r>
    <s v="Husein Augar"/>
    <x v="4"/>
    <x v="4"/>
    <x v="266"/>
    <x v="27"/>
    <n v="13.15"/>
    <n v="1341.3"/>
    <x v="2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F70534-8979-6346-9A91-F236B88FFDFD}"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4:D20" firstHeaderRow="0" firstDataRow="1" firstDataCol="1"/>
  <pivotFields count="6">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10">
    <format dxfId="84">
      <pivotArea type="all" dataOnly="0" outline="0" fieldPosition="0"/>
    </format>
    <format dxfId="83">
      <pivotArea outline="0" collapsedLevelsAreSubtotals="1" fieldPosition="0"/>
    </format>
    <format dxfId="82">
      <pivotArea field="1" type="button" dataOnly="0" labelOnly="1" outline="0" axis="axisRow" fieldPosition="0"/>
    </format>
    <format dxfId="81">
      <pivotArea dataOnly="0" labelOnly="1" fieldPosition="0">
        <references count="1">
          <reference field="1" count="0"/>
        </references>
      </pivotArea>
    </format>
    <format dxfId="80">
      <pivotArea dataOnly="0" labelOnly="1" grandRow="1" outline="0" fieldPosition="0"/>
    </format>
    <format dxfId="79">
      <pivotArea dataOnly="0" labelOnly="1" outline="0" fieldPosition="0">
        <references count="1">
          <reference field="4294967294" count="2">
            <x v="0"/>
            <x v="2"/>
          </reference>
        </references>
      </pivotArea>
    </format>
    <format dxfId="78">
      <pivotArea collapsedLevelsAreSubtotals="1" fieldPosition="0">
        <references count="2">
          <reference field="4294967294" count="1" selected="0">
            <x v="2"/>
          </reference>
          <reference field="1" count="0"/>
        </references>
      </pivotArea>
    </format>
    <format dxfId="77">
      <pivotArea collapsedLevelsAreSubtotals="1" fieldPosition="0">
        <references count="2">
          <reference field="4294967294" count="1" selected="0">
            <x v="0"/>
          </reference>
          <reference field="1" count="0"/>
        </references>
      </pivotArea>
    </format>
    <format dxfId="76">
      <pivotArea field="1" grandRow="1" outline="0" collapsedLevelsAreSubtotals="1" axis="axisRow" fieldPosition="0">
        <references count="1">
          <reference field="4294967294" count="1" selected="0">
            <x v="2"/>
          </reference>
        </references>
      </pivotArea>
    </format>
    <format dxfId="75">
      <pivotArea field="1" grandRow="1" outline="0" collapsedLevelsAreSubtotals="1" axis="axisRow"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6D5F8A-BE1F-E84E-9575-9C747622AF47}"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C24" firstHeaderRow="0" firstDataRow="1" firstDataCol="1"/>
  <pivotFields count="6">
    <pivotField showAll="0"/>
    <pivotField showAll="0"/>
    <pivotField axis="axisRow"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items count="268">
        <item x="143"/>
        <item x="25"/>
        <item x="131"/>
        <item x="78"/>
        <item x="80"/>
        <item x="75"/>
        <item x="190"/>
        <item x="123"/>
        <item x="58"/>
        <item x="234"/>
        <item x="232"/>
        <item x="43"/>
        <item x="223"/>
        <item x="13"/>
        <item x="130"/>
        <item x="201"/>
        <item x="18"/>
        <item x="140"/>
        <item x="198"/>
        <item x="236"/>
        <item x="88"/>
        <item x="235"/>
        <item x="50"/>
        <item x="125"/>
        <item x="109"/>
        <item x="30"/>
        <item x="178"/>
        <item x="83"/>
        <item x="212"/>
        <item x="162"/>
        <item x="260"/>
        <item x="225"/>
        <item x="180"/>
        <item x="265"/>
        <item x="95"/>
        <item x="135"/>
        <item x="116"/>
        <item x="73"/>
        <item x="66"/>
        <item x="62"/>
        <item x="229"/>
        <item x="2"/>
        <item x="197"/>
        <item x="82"/>
        <item x="187"/>
        <item x="242"/>
        <item x="57"/>
        <item x="34"/>
        <item x="185"/>
        <item x="8"/>
        <item x="216"/>
        <item x="256"/>
        <item x="102"/>
        <item x="108"/>
        <item x="41"/>
        <item x="55"/>
        <item x="110"/>
        <item x="114"/>
        <item x="164"/>
        <item x="99"/>
        <item x="227"/>
        <item x="244"/>
        <item x="0"/>
        <item x="189"/>
        <item x="159"/>
        <item x="21"/>
        <item x="23"/>
        <item x="188"/>
        <item x="10"/>
        <item x="175"/>
        <item x="36"/>
        <item x="105"/>
        <item x="176"/>
        <item x="26"/>
        <item x="230"/>
        <item x="160"/>
        <item x="138"/>
        <item x="103"/>
        <item x="4"/>
        <item x="15"/>
        <item x="153"/>
        <item x="262"/>
        <item x="258"/>
        <item x="22"/>
        <item x="239"/>
        <item x="199"/>
        <item x="68"/>
        <item x="248"/>
        <item x="151"/>
        <item x="38"/>
        <item x="61"/>
        <item x="167"/>
        <item x="91"/>
        <item x="42"/>
        <item x="261"/>
        <item x="221"/>
        <item x="14"/>
        <item x="84"/>
        <item x="132"/>
        <item x="113"/>
        <item x="207"/>
        <item x="157"/>
        <item x="174"/>
        <item x="12"/>
        <item x="6"/>
        <item x="224"/>
        <item x="89"/>
        <item x="97"/>
        <item x="154"/>
        <item x="118"/>
        <item x="179"/>
        <item x="243"/>
        <item x="94"/>
        <item x="71"/>
        <item x="205"/>
        <item x="96"/>
        <item x="200"/>
        <item x="247"/>
        <item x="136"/>
        <item x="166"/>
        <item x="246"/>
        <item x="186"/>
        <item x="87"/>
        <item x="215"/>
        <item x="141"/>
        <item x="37"/>
        <item x="47"/>
        <item x="161"/>
        <item x="147"/>
        <item x="219"/>
        <item x="210"/>
        <item x="196"/>
        <item x="145"/>
        <item x="181"/>
        <item x="259"/>
        <item x="93"/>
        <item x="128"/>
        <item x="226"/>
        <item x="72"/>
        <item x="156"/>
        <item x="79"/>
        <item x="240"/>
        <item x="266"/>
        <item x="172"/>
        <item x="194"/>
        <item x="33"/>
        <item x="11"/>
        <item x="65"/>
        <item x="257"/>
        <item x="203"/>
        <item x="59"/>
        <item x="90"/>
        <item x="211"/>
        <item x="250"/>
        <item x="40"/>
        <item x="233"/>
        <item x="122"/>
        <item x="129"/>
        <item x="64"/>
        <item x="158"/>
        <item x="148"/>
        <item x="119"/>
        <item x="28"/>
        <item x="183"/>
        <item x="117"/>
        <item x="53"/>
        <item x="252"/>
        <item x="202"/>
        <item x="195"/>
        <item x="251"/>
        <item x="44"/>
        <item x="168"/>
        <item x="74"/>
        <item x="9"/>
        <item x="7"/>
        <item x="48"/>
        <item x="45"/>
        <item x="228"/>
        <item x="104"/>
        <item x="169"/>
        <item x="54"/>
        <item x="214"/>
        <item x="120"/>
        <item x="67"/>
        <item x="152"/>
        <item x="126"/>
        <item x="241"/>
        <item x="32"/>
        <item x="206"/>
        <item x="35"/>
        <item x="127"/>
        <item x="209"/>
        <item x="60"/>
        <item x="115"/>
        <item x="218"/>
        <item x="173"/>
        <item x="171"/>
        <item x="177"/>
        <item x="27"/>
        <item x="213"/>
        <item x="124"/>
        <item x="29"/>
        <item x="238"/>
        <item x="263"/>
        <item x="52"/>
        <item x="106"/>
        <item x="121"/>
        <item x="1"/>
        <item x="231"/>
        <item x="101"/>
        <item x="111"/>
        <item x="245"/>
        <item x="137"/>
        <item x="182"/>
        <item x="254"/>
        <item x="193"/>
        <item x="39"/>
        <item x="31"/>
        <item x="85"/>
        <item x="170"/>
        <item x="192"/>
        <item x="146"/>
        <item x="217"/>
        <item x="139"/>
        <item x="86"/>
        <item x="253"/>
        <item x="249"/>
        <item x="150"/>
        <item x="16"/>
        <item x="56"/>
        <item x="81"/>
        <item x="149"/>
        <item x="133"/>
        <item x="107"/>
        <item x="20"/>
        <item x="51"/>
        <item x="142"/>
        <item x="70"/>
        <item x="208"/>
        <item x="264"/>
        <item x="144"/>
        <item x="5"/>
        <item x="77"/>
        <item x="255"/>
        <item x="204"/>
        <item x="46"/>
        <item x="19"/>
        <item x="222"/>
        <item x="3"/>
        <item x="220"/>
        <item x="63"/>
        <item x="98"/>
        <item x="191"/>
        <item x="134"/>
        <item x="163"/>
        <item x="237"/>
        <item x="184"/>
        <item x="24"/>
        <item x="100"/>
        <item x="165"/>
        <item x="112"/>
        <item x="92"/>
        <item x="155"/>
        <item x="76"/>
        <item x="69"/>
        <item x="17"/>
        <item x="49"/>
        <item t="default"/>
      </items>
    </pivotField>
    <pivotField dataField="1" numFmtId="3" showAll="0">
      <items count="120">
        <item x="106"/>
        <item x="49"/>
        <item x="47"/>
        <item x="9"/>
        <item x="25"/>
        <item x="36"/>
        <item x="33"/>
        <item x="117"/>
        <item x="82"/>
        <item x="26"/>
        <item x="38"/>
        <item x="40"/>
        <item x="90"/>
        <item x="101"/>
        <item x="45"/>
        <item x="59"/>
        <item x="6"/>
        <item x="111"/>
        <item x="109"/>
        <item x="41"/>
        <item x="14"/>
        <item x="42"/>
        <item x="29"/>
        <item x="8"/>
        <item x="110"/>
        <item x="62"/>
        <item x="79"/>
        <item x="15"/>
        <item x="18"/>
        <item x="66"/>
        <item x="70"/>
        <item x="114"/>
        <item x="27"/>
        <item x="104"/>
        <item x="51"/>
        <item x="0"/>
        <item x="88"/>
        <item x="12"/>
        <item x="61"/>
        <item x="89"/>
        <item x="76"/>
        <item x="32"/>
        <item x="50"/>
        <item x="19"/>
        <item x="11"/>
        <item x="2"/>
        <item x="53"/>
        <item x="34"/>
        <item x="39"/>
        <item x="57"/>
        <item x="17"/>
        <item x="55"/>
        <item x="23"/>
        <item x="99"/>
        <item x="85"/>
        <item x="96"/>
        <item x="28"/>
        <item x="21"/>
        <item x="37"/>
        <item x="71"/>
        <item x="24"/>
        <item x="107"/>
        <item x="58"/>
        <item x="20"/>
        <item x="46"/>
        <item x="7"/>
        <item x="83"/>
        <item x="65"/>
        <item x="98"/>
        <item x="72"/>
        <item x="63"/>
        <item x="22"/>
        <item x="13"/>
        <item x="116"/>
        <item x="75"/>
        <item x="93"/>
        <item x="78"/>
        <item x="108"/>
        <item x="74"/>
        <item x="35"/>
        <item x="81"/>
        <item x="48"/>
        <item x="105"/>
        <item x="44"/>
        <item x="100"/>
        <item x="60"/>
        <item x="30"/>
        <item x="3"/>
        <item x="95"/>
        <item x="68"/>
        <item x="77"/>
        <item x="97"/>
        <item x="56"/>
        <item x="67"/>
        <item x="92"/>
        <item x="113"/>
        <item x="118"/>
        <item x="16"/>
        <item x="64"/>
        <item x="80"/>
        <item x="84"/>
        <item x="115"/>
        <item x="91"/>
        <item x="102"/>
        <item x="103"/>
        <item x="87"/>
        <item x="112"/>
        <item x="31"/>
        <item x="4"/>
        <item x="5"/>
        <item x="94"/>
        <item x="73"/>
        <item x="1"/>
        <item x="10"/>
        <item x="54"/>
        <item x="43"/>
        <item x="86"/>
        <item x="69"/>
        <item x="52"/>
        <item t="default"/>
      </items>
    </pivotField>
    <pivotField showAll="0">
      <items count="300">
        <item x="153"/>
        <item x="26"/>
        <item x="140"/>
        <item x="141"/>
        <item x="84"/>
        <item x="78"/>
        <item x="244"/>
        <item x="81"/>
        <item x="139"/>
        <item x="101"/>
        <item x="217"/>
        <item x="145"/>
        <item x="130"/>
        <item x="18"/>
        <item x="88"/>
        <item x="294"/>
        <item x="168"/>
        <item x="76"/>
        <item x="150"/>
        <item x="297"/>
        <item x="220"/>
        <item x="237"/>
        <item x="59"/>
        <item x="10"/>
        <item x="256"/>
        <item x="267"/>
        <item x="58"/>
        <item x="35"/>
        <item x="196"/>
        <item x="69"/>
        <item x="13"/>
        <item x="37"/>
        <item x="216"/>
        <item x="206"/>
        <item x="258"/>
        <item x="4"/>
        <item x="161"/>
        <item x="192"/>
        <item x="248"/>
        <item x="201"/>
        <item x="257"/>
        <item x="87"/>
        <item x="253"/>
        <item x="263"/>
        <item x="93"/>
        <item x="120"/>
        <item x="2"/>
        <item x="122"/>
        <item x="207"/>
        <item x="134"/>
        <item x="194"/>
        <item x="233"/>
        <item x="124"/>
        <item x="89"/>
        <item x="21"/>
        <item x="209"/>
        <item x="245"/>
        <item x="155"/>
        <item x="51"/>
        <item x="246"/>
        <item x="146"/>
        <item x="23"/>
        <item x="62"/>
        <item x="173"/>
        <item x="157"/>
        <item x="43"/>
        <item x="100"/>
        <item x="132"/>
        <item x="191"/>
        <item x="111"/>
        <item x="27"/>
        <item x="236"/>
        <item x="285"/>
        <item x="14"/>
        <item x="70"/>
        <item x="115"/>
        <item x="174"/>
        <item x="24"/>
        <item x="195"/>
        <item x="99"/>
        <item x="109"/>
        <item x="231"/>
        <item x="176"/>
        <item x="279"/>
        <item x="138"/>
        <item x="274"/>
        <item x="250"/>
        <item x="213"/>
        <item x="270"/>
        <item x="190"/>
        <item x="182"/>
        <item x="44"/>
        <item x="293"/>
        <item x="83"/>
        <item x="203"/>
        <item x="158"/>
        <item x="0"/>
        <item x="202"/>
        <item x="1"/>
        <item x="116"/>
        <item x="166"/>
        <item x="114"/>
        <item x="57"/>
        <item x="219"/>
        <item x="22"/>
        <item x="123"/>
        <item x="65"/>
        <item x="260"/>
        <item x="105"/>
        <item x="290"/>
        <item x="39"/>
        <item x="8"/>
        <item x="73"/>
        <item x="148"/>
        <item x="214"/>
        <item x="289"/>
        <item x="113"/>
        <item x="137"/>
        <item x="171"/>
        <item x="249"/>
        <item x="129"/>
        <item x="287"/>
        <item x="198"/>
        <item x="291"/>
        <item x="180"/>
        <item x="262"/>
        <item x="162"/>
        <item x="170"/>
        <item x="277"/>
        <item x="108"/>
        <item x="204"/>
        <item x="60"/>
        <item x="5"/>
        <item x="188"/>
        <item x="128"/>
        <item x="135"/>
        <item x="255"/>
        <item x="127"/>
        <item x="12"/>
        <item x="238"/>
        <item x="75"/>
        <item x="205"/>
        <item x="167"/>
        <item x="7"/>
        <item x="272"/>
        <item x="125"/>
        <item x="242"/>
        <item x="68"/>
        <item x="247"/>
        <item x="224"/>
        <item x="208"/>
        <item x="45"/>
        <item x="184"/>
        <item x="185"/>
        <item x="254"/>
        <item x="117"/>
        <item x="199"/>
        <item x="175"/>
        <item x="95"/>
        <item x="11"/>
        <item x="119"/>
        <item x="74"/>
        <item x="41"/>
        <item x="183"/>
        <item x="295"/>
        <item x="112"/>
        <item x="94"/>
        <item x="218"/>
        <item x="273"/>
        <item x="77"/>
        <item x="296"/>
        <item x="15"/>
        <item x="49"/>
        <item x="159"/>
        <item x="259"/>
        <item x="235"/>
        <item x="3"/>
        <item x="268"/>
        <item x="264"/>
        <item x="91"/>
        <item x="221"/>
        <item x="160"/>
        <item x="53"/>
        <item x="276"/>
        <item x="240"/>
        <item x="156"/>
        <item x="31"/>
        <item x="164"/>
        <item x="56"/>
        <item x="298"/>
        <item x="32"/>
        <item x="281"/>
        <item x="280"/>
        <item x="66"/>
        <item x="36"/>
        <item x="80"/>
        <item x="38"/>
        <item x="151"/>
        <item x="197"/>
        <item x="48"/>
        <item x="25"/>
        <item x="143"/>
        <item x="17"/>
        <item x="71"/>
        <item x="154"/>
        <item x="210"/>
        <item x="144"/>
        <item x="6"/>
        <item x="251"/>
        <item x="98"/>
        <item x="283"/>
        <item x="252"/>
        <item x="34"/>
        <item x="187"/>
        <item x="179"/>
        <item x="92"/>
        <item x="178"/>
        <item x="19"/>
        <item x="121"/>
        <item x="278"/>
        <item x="30"/>
        <item x="226"/>
        <item x="239"/>
        <item x="79"/>
        <item x="269"/>
        <item x="223"/>
        <item x="54"/>
        <item x="97"/>
        <item x="288"/>
        <item x="126"/>
        <item x="211"/>
        <item x="163"/>
        <item x="261"/>
        <item x="118"/>
        <item x="177"/>
        <item x="212"/>
        <item x="82"/>
        <item x="16"/>
        <item x="20"/>
        <item x="72"/>
        <item x="42"/>
        <item x="85"/>
        <item x="189"/>
        <item x="110"/>
        <item x="104"/>
        <item x="243"/>
        <item x="52"/>
        <item x="181"/>
        <item x="142"/>
        <item x="292"/>
        <item x="200"/>
        <item x="284"/>
        <item x="90"/>
        <item x="133"/>
        <item x="222"/>
        <item x="266"/>
        <item x="186"/>
        <item x="107"/>
        <item x="169"/>
        <item x="232"/>
        <item x="193"/>
        <item x="29"/>
        <item x="63"/>
        <item x="225"/>
        <item x="265"/>
        <item x="67"/>
        <item x="282"/>
        <item x="286"/>
        <item x="55"/>
        <item x="131"/>
        <item x="152"/>
        <item x="149"/>
        <item x="234"/>
        <item x="136"/>
        <item x="46"/>
        <item x="147"/>
        <item x="47"/>
        <item x="96"/>
        <item x="103"/>
        <item x="64"/>
        <item x="102"/>
        <item x="40"/>
        <item x="241"/>
        <item x="86"/>
        <item x="50"/>
        <item x="9"/>
        <item x="229"/>
        <item x="28"/>
        <item x="228"/>
        <item x="165"/>
        <item x="33"/>
        <item x="106"/>
        <item x="172"/>
        <item x="61"/>
        <item x="275"/>
        <item x="271"/>
        <item x="215"/>
        <item x="227"/>
        <item x="230"/>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x v="21"/>
    </i>
  </rowItems>
  <colFields count="1">
    <field x="-2"/>
  </colFields>
  <colItems count="2">
    <i>
      <x/>
    </i>
    <i i="1">
      <x v="1"/>
    </i>
  </colItems>
  <dataFields count="2">
    <dataField name="Sum of Amount" fld="3" baseField="0" baseItem="0"/>
    <dataField name="Sum of Units" fld="4" baseField="0" baseItem="0"/>
  </dataFields>
  <formats count="7">
    <format dxfId="74">
      <pivotArea type="all" dataOnly="0" outline="0" fieldPosition="0"/>
    </format>
    <format dxfId="73">
      <pivotArea outline="0" collapsedLevelsAreSubtotals="1" fieldPosition="0"/>
    </format>
    <format dxfId="72">
      <pivotArea field="2" type="button" dataOnly="0" labelOnly="1" outline="0" axis="axisRow" fieldPosition="0"/>
    </format>
    <format dxfId="71">
      <pivotArea dataOnly="0" labelOnly="1" fieldPosition="0">
        <references count="1">
          <reference field="2" count="0"/>
        </references>
      </pivotArea>
    </format>
    <format dxfId="70">
      <pivotArea dataOnly="0" labelOnly="1" grandRow="1" outline="0" fieldPosition="0"/>
    </format>
    <format dxfId="69">
      <pivotArea dataOnly="0" labelOnly="1" outline="0" axis="axisValues" fieldPosition="0"/>
    </format>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B7F565-63DA-7341-A6F8-F7D3788542F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15" firstHeaderRow="1" firstDataRow="1" firstDataCol="1"/>
  <pivotFields count="6">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items count="268">
        <item x="143"/>
        <item x="25"/>
        <item x="131"/>
        <item x="78"/>
        <item x="80"/>
        <item x="75"/>
        <item x="190"/>
        <item x="123"/>
        <item x="58"/>
        <item x="234"/>
        <item x="232"/>
        <item x="43"/>
        <item x="223"/>
        <item x="13"/>
        <item x="130"/>
        <item x="201"/>
        <item x="18"/>
        <item x="140"/>
        <item x="198"/>
        <item x="236"/>
        <item x="88"/>
        <item x="235"/>
        <item x="50"/>
        <item x="125"/>
        <item x="109"/>
        <item x="30"/>
        <item x="178"/>
        <item x="83"/>
        <item x="212"/>
        <item x="162"/>
        <item x="260"/>
        <item x="225"/>
        <item x="180"/>
        <item x="265"/>
        <item x="95"/>
        <item x="135"/>
        <item x="116"/>
        <item x="73"/>
        <item x="66"/>
        <item x="62"/>
        <item x="229"/>
        <item x="2"/>
        <item x="197"/>
        <item x="82"/>
        <item x="187"/>
        <item x="242"/>
        <item x="57"/>
        <item x="34"/>
        <item x="185"/>
        <item x="8"/>
        <item x="216"/>
        <item x="256"/>
        <item x="102"/>
        <item x="108"/>
        <item x="41"/>
        <item x="55"/>
        <item x="110"/>
        <item x="114"/>
        <item x="164"/>
        <item x="99"/>
        <item x="227"/>
        <item x="244"/>
        <item x="0"/>
        <item x="189"/>
        <item x="159"/>
        <item x="21"/>
        <item x="23"/>
        <item x="188"/>
        <item x="10"/>
        <item x="175"/>
        <item x="36"/>
        <item x="105"/>
        <item x="176"/>
        <item x="26"/>
        <item x="230"/>
        <item x="160"/>
        <item x="138"/>
        <item x="103"/>
        <item x="4"/>
        <item x="15"/>
        <item x="153"/>
        <item x="262"/>
        <item x="258"/>
        <item x="22"/>
        <item x="239"/>
        <item x="199"/>
        <item x="68"/>
        <item x="248"/>
        <item x="151"/>
        <item x="38"/>
        <item x="61"/>
        <item x="167"/>
        <item x="91"/>
        <item x="42"/>
        <item x="261"/>
        <item x="221"/>
        <item x="14"/>
        <item x="84"/>
        <item x="132"/>
        <item x="113"/>
        <item x="207"/>
        <item x="157"/>
        <item x="174"/>
        <item x="12"/>
        <item x="6"/>
        <item x="224"/>
        <item x="89"/>
        <item x="97"/>
        <item x="154"/>
        <item x="118"/>
        <item x="179"/>
        <item x="243"/>
        <item x="94"/>
        <item x="71"/>
        <item x="205"/>
        <item x="96"/>
        <item x="200"/>
        <item x="247"/>
        <item x="136"/>
        <item x="166"/>
        <item x="246"/>
        <item x="186"/>
        <item x="87"/>
        <item x="215"/>
        <item x="141"/>
        <item x="37"/>
        <item x="47"/>
        <item x="161"/>
        <item x="147"/>
        <item x="219"/>
        <item x="210"/>
        <item x="196"/>
        <item x="145"/>
        <item x="181"/>
        <item x="259"/>
        <item x="93"/>
        <item x="128"/>
        <item x="226"/>
        <item x="72"/>
        <item x="156"/>
        <item x="79"/>
        <item x="240"/>
        <item x="266"/>
        <item x="172"/>
        <item x="194"/>
        <item x="33"/>
        <item x="11"/>
        <item x="65"/>
        <item x="257"/>
        <item x="203"/>
        <item x="59"/>
        <item x="90"/>
        <item x="211"/>
        <item x="250"/>
        <item x="40"/>
        <item x="233"/>
        <item x="122"/>
        <item x="129"/>
        <item x="64"/>
        <item x="158"/>
        <item x="148"/>
        <item x="119"/>
        <item x="28"/>
        <item x="183"/>
        <item x="117"/>
        <item x="53"/>
        <item x="252"/>
        <item x="202"/>
        <item x="195"/>
        <item x="251"/>
        <item x="44"/>
        <item x="168"/>
        <item x="74"/>
        <item x="9"/>
        <item x="7"/>
        <item x="48"/>
        <item x="45"/>
        <item x="228"/>
        <item x="104"/>
        <item x="169"/>
        <item x="54"/>
        <item x="214"/>
        <item x="120"/>
        <item x="67"/>
        <item x="152"/>
        <item x="126"/>
        <item x="241"/>
        <item x="32"/>
        <item x="206"/>
        <item x="35"/>
        <item x="127"/>
        <item x="209"/>
        <item x="60"/>
        <item x="115"/>
        <item x="218"/>
        <item x="173"/>
        <item x="171"/>
        <item x="177"/>
        <item x="27"/>
        <item x="213"/>
        <item x="124"/>
        <item x="29"/>
        <item x="238"/>
        <item x="263"/>
        <item x="52"/>
        <item x="106"/>
        <item x="121"/>
        <item x="1"/>
        <item x="231"/>
        <item x="101"/>
        <item x="111"/>
        <item x="245"/>
        <item x="137"/>
        <item x="182"/>
        <item x="254"/>
        <item x="193"/>
        <item x="39"/>
        <item x="31"/>
        <item x="85"/>
        <item x="170"/>
        <item x="192"/>
        <item x="146"/>
        <item x="217"/>
        <item x="139"/>
        <item x="86"/>
        <item x="253"/>
        <item x="249"/>
        <item x="150"/>
        <item x="16"/>
        <item x="56"/>
        <item x="81"/>
        <item x="149"/>
        <item x="133"/>
        <item x="107"/>
        <item x="20"/>
        <item x="51"/>
        <item x="142"/>
        <item x="70"/>
        <item x="208"/>
        <item x="264"/>
        <item x="144"/>
        <item x="5"/>
        <item x="77"/>
        <item x="255"/>
        <item x="204"/>
        <item x="46"/>
        <item x="19"/>
        <item x="222"/>
        <item x="3"/>
        <item x="220"/>
        <item x="63"/>
        <item x="98"/>
        <item x="191"/>
        <item x="134"/>
        <item x="163"/>
        <item x="237"/>
        <item x="184"/>
        <item x="24"/>
        <item x="100"/>
        <item x="165"/>
        <item x="112"/>
        <item x="92"/>
        <item x="155"/>
        <item x="76"/>
        <item x="69"/>
        <item x="17"/>
        <item x="49"/>
        <item t="default"/>
      </items>
    </pivotField>
    <pivotField numFmtId="3" showAll="0"/>
    <pivotField numFmtId="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numFmtId="166"/>
  </dataFields>
  <formats count="13">
    <format dxfId="52">
      <pivotArea type="all" dataOnly="0" outline="0" fieldPosition="0"/>
    </format>
    <format dxfId="51">
      <pivotArea outline="0" collapsedLevelsAreSubtotals="1" fieldPosition="0"/>
    </format>
    <format dxfId="50">
      <pivotArea field="1" type="button" dataOnly="0" labelOnly="1" outline="0" axis="axisRow" fieldPosition="0"/>
    </format>
    <format dxfId="49">
      <pivotArea dataOnly="0" labelOnly="1" fieldPosition="0">
        <references count="1">
          <reference field="1" count="0"/>
        </references>
      </pivotArea>
    </format>
    <format dxfId="48">
      <pivotArea dataOnly="0" labelOnly="1" grandRow="1" outline="0" fieldPosition="0"/>
    </format>
    <format dxfId="47">
      <pivotArea dataOnly="0" labelOnly="1" fieldPosition="0">
        <references count="2">
          <reference field="0" count="1">
            <x v="2"/>
          </reference>
          <reference field="1" count="1" selected="0">
            <x v="0"/>
          </reference>
        </references>
      </pivotArea>
    </format>
    <format dxfId="46">
      <pivotArea dataOnly="0" labelOnly="1" fieldPosition="0">
        <references count="2">
          <reference field="0" count="1">
            <x v="1"/>
          </reference>
          <reference field="1" count="1" selected="0">
            <x v="1"/>
          </reference>
        </references>
      </pivotArea>
    </format>
    <format dxfId="45">
      <pivotArea dataOnly="0" labelOnly="1" fieldPosition="0">
        <references count="2">
          <reference field="0" count="1">
            <x v="1"/>
          </reference>
          <reference field="1" count="1" selected="0">
            <x v="2"/>
          </reference>
        </references>
      </pivotArea>
    </format>
    <format dxfId="44">
      <pivotArea dataOnly="0" labelOnly="1" fieldPosition="0">
        <references count="2">
          <reference field="0" count="1">
            <x v="8"/>
          </reference>
          <reference field="1" count="1" selected="0">
            <x v="3"/>
          </reference>
        </references>
      </pivotArea>
    </format>
    <format dxfId="43">
      <pivotArea dataOnly="0" labelOnly="1" fieldPosition="0">
        <references count="2">
          <reference field="0" count="1">
            <x v="2"/>
          </reference>
          <reference field="1" count="1" selected="0">
            <x v="4"/>
          </reference>
        </references>
      </pivotArea>
    </format>
    <format dxfId="42">
      <pivotArea dataOnly="0" labelOnly="1" fieldPosition="0">
        <references count="2">
          <reference field="0" count="1">
            <x v="0"/>
          </reference>
          <reference field="1" count="1" selected="0">
            <x v="5"/>
          </reference>
        </references>
      </pivotArea>
    </format>
    <format dxfId="41">
      <pivotArea dataOnly="0" labelOnly="1" outline="0" axis="axisValues" fieldPosition="0"/>
    </format>
    <format dxfId="39">
      <pivotArea outline="0" collapsedLevelsAreSubtotals="1" fieldPosition="0"/>
    </format>
  </formats>
  <pivotTableStyleInfo name="PivotStyleLight16" showRowHeaders="1" showColHeaders="1" showRowStripes="0" showColStripes="0" showLastColumn="1"/>
  <filters count="1">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9CE3E7-28F8-7742-BC91-9520F535C0C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15" firstHeaderRow="1" firstDataRow="1" firstDataCol="1"/>
  <pivotFields count="6">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items count="268">
        <item x="143"/>
        <item x="25"/>
        <item x="131"/>
        <item x="78"/>
        <item x="80"/>
        <item x="75"/>
        <item x="190"/>
        <item x="123"/>
        <item x="58"/>
        <item x="234"/>
        <item x="232"/>
        <item x="43"/>
        <item x="223"/>
        <item x="13"/>
        <item x="130"/>
        <item x="201"/>
        <item x="18"/>
        <item x="140"/>
        <item x="198"/>
        <item x="236"/>
        <item x="88"/>
        <item x="235"/>
        <item x="50"/>
        <item x="125"/>
        <item x="109"/>
        <item x="30"/>
        <item x="178"/>
        <item x="83"/>
        <item x="212"/>
        <item x="162"/>
        <item x="260"/>
        <item x="225"/>
        <item x="180"/>
        <item x="265"/>
        <item x="95"/>
        <item x="135"/>
        <item x="116"/>
        <item x="73"/>
        <item x="66"/>
        <item x="62"/>
        <item x="229"/>
        <item x="2"/>
        <item x="197"/>
        <item x="82"/>
        <item x="187"/>
        <item x="242"/>
        <item x="57"/>
        <item x="34"/>
        <item x="185"/>
        <item x="8"/>
        <item x="216"/>
        <item x="256"/>
        <item x="102"/>
        <item x="108"/>
        <item x="41"/>
        <item x="55"/>
        <item x="110"/>
        <item x="114"/>
        <item x="164"/>
        <item x="99"/>
        <item x="227"/>
        <item x="244"/>
        <item x="0"/>
        <item x="189"/>
        <item x="159"/>
        <item x="21"/>
        <item x="23"/>
        <item x="188"/>
        <item x="10"/>
        <item x="175"/>
        <item x="36"/>
        <item x="105"/>
        <item x="176"/>
        <item x="26"/>
        <item x="230"/>
        <item x="160"/>
        <item x="138"/>
        <item x="103"/>
        <item x="4"/>
        <item x="15"/>
        <item x="153"/>
        <item x="262"/>
        <item x="258"/>
        <item x="22"/>
        <item x="239"/>
        <item x="199"/>
        <item x="68"/>
        <item x="248"/>
        <item x="151"/>
        <item x="38"/>
        <item x="61"/>
        <item x="167"/>
        <item x="91"/>
        <item x="42"/>
        <item x="261"/>
        <item x="221"/>
        <item x="14"/>
        <item x="84"/>
        <item x="132"/>
        <item x="113"/>
        <item x="207"/>
        <item x="157"/>
        <item x="174"/>
        <item x="12"/>
        <item x="6"/>
        <item x="224"/>
        <item x="89"/>
        <item x="97"/>
        <item x="154"/>
        <item x="118"/>
        <item x="179"/>
        <item x="243"/>
        <item x="94"/>
        <item x="71"/>
        <item x="205"/>
        <item x="96"/>
        <item x="200"/>
        <item x="247"/>
        <item x="136"/>
        <item x="166"/>
        <item x="246"/>
        <item x="186"/>
        <item x="87"/>
        <item x="215"/>
        <item x="141"/>
        <item x="37"/>
        <item x="47"/>
        <item x="161"/>
        <item x="147"/>
        <item x="219"/>
        <item x="210"/>
        <item x="196"/>
        <item x="145"/>
        <item x="181"/>
        <item x="259"/>
        <item x="93"/>
        <item x="128"/>
        <item x="226"/>
        <item x="72"/>
        <item x="156"/>
        <item x="79"/>
        <item x="240"/>
        <item x="266"/>
        <item x="172"/>
        <item x="194"/>
        <item x="33"/>
        <item x="11"/>
        <item x="65"/>
        <item x="257"/>
        <item x="203"/>
        <item x="59"/>
        <item x="90"/>
        <item x="211"/>
        <item x="250"/>
        <item x="40"/>
        <item x="233"/>
        <item x="122"/>
        <item x="129"/>
        <item x="64"/>
        <item x="158"/>
        <item x="148"/>
        <item x="119"/>
        <item x="28"/>
        <item x="183"/>
        <item x="117"/>
        <item x="53"/>
        <item x="252"/>
        <item x="202"/>
        <item x="195"/>
        <item x="251"/>
        <item x="44"/>
        <item x="168"/>
        <item x="74"/>
        <item x="9"/>
        <item x="7"/>
        <item x="48"/>
        <item x="45"/>
        <item x="228"/>
        <item x="104"/>
        <item x="169"/>
        <item x="54"/>
        <item x="214"/>
        <item x="120"/>
        <item x="67"/>
        <item x="152"/>
        <item x="126"/>
        <item x="241"/>
        <item x="32"/>
        <item x="206"/>
        <item x="35"/>
        <item x="127"/>
        <item x="209"/>
        <item x="60"/>
        <item x="115"/>
        <item x="218"/>
        <item x="173"/>
        <item x="171"/>
        <item x="177"/>
        <item x="27"/>
        <item x="213"/>
        <item x="124"/>
        <item x="29"/>
        <item x="238"/>
        <item x="263"/>
        <item x="52"/>
        <item x="106"/>
        <item x="121"/>
        <item x="1"/>
        <item x="231"/>
        <item x="101"/>
        <item x="111"/>
        <item x="245"/>
        <item x="137"/>
        <item x="182"/>
        <item x="254"/>
        <item x="193"/>
        <item x="39"/>
        <item x="31"/>
        <item x="85"/>
        <item x="170"/>
        <item x="192"/>
        <item x="146"/>
        <item x="217"/>
        <item x="139"/>
        <item x="86"/>
        <item x="253"/>
        <item x="249"/>
        <item x="150"/>
        <item x="16"/>
        <item x="56"/>
        <item x="81"/>
        <item x="149"/>
        <item x="133"/>
        <item x="107"/>
        <item x="20"/>
        <item x="51"/>
        <item x="142"/>
        <item x="70"/>
        <item x="208"/>
        <item x="264"/>
        <item x="144"/>
        <item x="5"/>
        <item x="77"/>
        <item x="255"/>
        <item x="204"/>
        <item x="46"/>
        <item x="19"/>
        <item x="222"/>
        <item x="3"/>
        <item x="220"/>
        <item x="63"/>
        <item x="98"/>
        <item x="191"/>
        <item x="134"/>
        <item x="163"/>
        <item x="237"/>
        <item x="184"/>
        <item x="24"/>
        <item x="100"/>
        <item x="165"/>
        <item x="112"/>
        <item x="92"/>
        <item x="155"/>
        <item x="76"/>
        <item x="69"/>
        <item x="17"/>
        <item x="49"/>
        <item t="default"/>
      </items>
    </pivotField>
    <pivotField numFmtId="3" showAll="0"/>
    <pivotField numFmtId="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numFmtId="166"/>
  </dataFields>
  <formats count="13">
    <format dxfId="64">
      <pivotArea type="all" dataOnly="0" outline="0" fieldPosition="0"/>
    </format>
    <format dxfId="63">
      <pivotArea outline="0" collapsedLevelsAreSubtotals="1" fieldPosition="0"/>
    </format>
    <format dxfId="62">
      <pivotArea field="1" type="button" dataOnly="0" labelOnly="1" outline="0" axis="axisRow" fieldPosition="0"/>
    </format>
    <format dxfId="61">
      <pivotArea dataOnly="0" labelOnly="1" fieldPosition="0">
        <references count="1">
          <reference field="1" count="0"/>
        </references>
      </pivotArea>
    </format>
    <format dxfId="60">
      <pivotArea dataOnly="0" labelOnly="1" grandRow="1" outline="0" fieldPosition="0"/>
    </format>
    <format dxfId="59">
      <pivotArea dataOnly="0" labelOnly="1" fieldPosition="0">
        <references count="2">
          <reference field="0" count="1">
            <x v="5"/>
          </reference>
          <reference field="1" count="1" selected="0">
            <x v="0"/>
          </reference>
        </references>
      </pivotArea>
    </format>
    <format dxfId="58">
      <pivotArea dataOnly="0" labelOnly="1" fieldPosition="0">
        <references count="2">
          <reference field="0" count="1">
            <x v="5"/>
          </reference>
          <reference field="1" count="1" selected="0">
            <x v="1"/>
          </reference>
        </references>
      </pivotArea>
    </format>
    <format dxfId="57">
      <pivotArea dataOnly="0" labelOnly="1" fieldPosition="0">
        <references count="2">
          <reference field="0" count="1">
            <x v="5"/>
          </reference>
          <reference field="1" count="1" selected="0">
            <x v="2"/>
          </reference>
        </references>
      </pivotArea>
    </format>
    <format dxfId="56">
      <pivotArea dataOnly="0" labelOnly="1" fieldPosition="0">
        <references count="2">
          <reference field="0" count="1">
            <x v="3"/>
          </reference>
          <reference field="1" count="1" selected="0">
            <x v="3"/>
          </reference>
        </references>
      </pivotArea>
    </format>
    <format dxfId="55">
      <pivotArea dataOnly="0" labelOnly="1" fieldPosition="0">
        <references count="2">
          <reference field="0" count="1">
            <x v="0"/>
          </reference>
          <reference field="1" count="1" selected="0">
            <x v="4"/>
          </reference>
        </references>
      </pivotArea>
    </format>
    <format dxfId="54">
      <pivotArea dataOnly="0" labelOnly="1" fieldPosition="0">
        <references count="2">
          <reference field="0" count="1">
            <x v="9"/>
          </reference>
          <reference field="1" count="1" selected="0">
            <x v="5"/>
          </reference>
        </references>
      </pivotArea>
    </format>
    <format dxfId="53">
      <pivotArea dataOnly="0" labelOnly="1" outline="0" axis="axisValues" fieldPosition="0"/>
    </format>
    <format dxfId="40">
      <pivotArea outline="0" collapsedLevelsAreSubtotals="1" fieldPosition="0"/>
    </format>
  </format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37C3B0-CFA0-594A-9C10-812495BD9167}"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25" firstHeaderRow="1" firstDataRow="1" firstDataCol="1"/>
  <pivotFields count="8">
    <pivotField showAll="0"/>
    <pivotField showAll="0">
      <items count="7">
        <item x="4"/>
        <item x="2"/>
        <item x="5"/>
        <item x="0"/>
        <item x="3"/>
        <item x="1"/>
        <item t="default"/>
      </items>
    </pivotField>
    <pivotField axis="axisRow"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6" showAll="0"/>
    <pivotField numFmtId="3" showAll="0"/>
    <pivotField numFmtId="3" showAll="0"/>
    <pivotField numFmtId="6" showAll="0"/>
    <pivotField dataField="1" numFmtId="6" showAll="0">
      <items count="300">
        <item x="101"/>
        <item x="10"/>
        <item x="161"/>
        <item x="145"/>
        <item x="35"/>
        <item x="237"/>
        <item x="294"/>
        <item x="4"/>
        <item x="168"/>
        <item x="192"/>
        <item x="76"/>
        <item x="244"/>
        <item x="216"/>
        <item x="139"/>
        <item x="140"/>
        <item x="297"/>
        <item x="236"/>
        <item x="120"/>
        <item x="157"/>
        <item x="267"/>
        <item x="37"/>
        <item x="88"/>
        <item x="26"/>
        <item x="122"/>
        <item x="217"/>
        <item x="155"/>
        <item x="150"/>
        <item x="245"/>
        <item x="84"/>
        <item x="18"/>
        <item x="141"/>
        <item x="153"/>
        <item x="58"/>
        <item x="78"/>
        <item x="2"/>
        <item x="206"/>
        <item x="124"/>
        <item x="87"/>
        <item x="201"/>
        <item x="130"/>
        <item x="69"/>
        <item x="194"/>
        <item x="14"/>
        <item x="43"/>
        <item x="70"/>
        <item x="93"/>
        <item x="220"/>
        <item x="81"/>
        <item x="258"/>
        <item x="257"/>
        <item x="123"/>
        <item x="13"/>
        <item x="134"/>
        <item x="253"/>
        <item x="263"/>
        <item x="209"/>
        <item x="27"/>
        <item x="59"/>
        <item x="51"/>
        <item x="24"/>
        <item x="115"/>
        <item x="0"/>
        <item x="191"/>
        <item x="202"/>
        <item x="290"/>
        <item x="89"/>
        <item x="39"/>
        <item x="207"/>
        <item x="256"/>
        <item x="173"/>
        <item x="44"/>
        <item x="233"/>
        <item x="196"/>
        <item x="21"/>
        <item x="174"/>
        <item x="108"/>
        <item x="114"/>
        <item x="23"/>
        <item x="250"/>
        <item x="105"/>
        <item x="146"/>
        <item x="176"/>
        <item x="289"/>
        <item x="8"/>
        <item x="204"/>
        <item x="246"/>
        <item x="285"/>
        <item x="31"/>
        <item x="99"/>
        <item x="111"/>
        <item x="171"/>
        <item x="100"/>
        <item x="260"/>
        <item x="62"/>
        <item x="291"/>
        <item x="248"/>
        <item x="270"/>
        <item x="208"/>
        <item x="65"/>
        <item x="203"/>
        <item x="60"/>
        <item x="109"/>
        <item x="22"/>
        <item x="116"/>
        <item x="63"/>
        <item x="188"/>
        <item x="148"/>
        <item x="97"/>
        <item x="180"/>
        <item x="276"/>
        <item x="42"/>
        <item x="190"/>
        <item x="219"/>
        <item x="182"/>
        <item x="56"/>
        <item x="119"/>
        <item x="264"/>
        <item x="178"/>
        <item x="262"/>
        <item x="287"/>
        <item x="195"/>
        <item x="166"/>
        <item x="224"/>
        <item x="218"/>
        <item x="293"/>
        <item x="12"/>
        <item x="71"/>
        <item x="15"/>
        <item x="274"/>
        <item x="251"/>
        <item x="167"/>
        <item x="231"/>
        <item x="242"/>
        <item x="163"/>
        <item x="137"/>
        <item x="138"/>
        <item x="83"/>
        <item x="175"/>
        <item x="142"/>
        <item x="94"/>
        <item x="74"/>
        <item x="249"/>
        <item x="187"/>
        <item x="125"/>
        <item x="151"/>
        <item x="95"/>
        <item x="132"/>
        <item x="158"/>
        <item x="164"/>
        <item x="279"/>
        <item x="67"/>
        <item x="214"/>
        <item x="240"/>
        <item x="6"/>
        <item x="269"/>
        <item x="96"/>
        <item x="169"/>
        <item x="213"/>
        <item x="197"/>
        <item x="226"/>
        <item x="296"/>
        <item x="228"/>
        <item x="298"/>
        <item x="255"/>
        <item x="38"/>
        <item x="273"/>
        <item x="103"/>
        <item x="75"/>
        <item x="1"/>
        <item x="170"/>
        <item x="181"/>
        <item x="68"/>
        <item x="48"/>
        <item x="92"/>
        <item x="82"/>
        <item x="102"/>
        <item x="162"/>
        <item x="7"/>
        <item x="275"/>
        <item x="281"/>
        <item x="135"/>
        <item x="117"/>
        <item x="34"/>
        <item x="205"/>
        <item x="199"/>
        <item x="198"/>
        <item x="73"/>
        <item x="288"/>
        <item x="247"/>
        <item x="277"/>
        <item x="57"/>
        <item x="272"/>
        <item x="41"/>
        <item x="215"/>
        <item x="5"/>
        <item x="11"/>
        <item x="265"/>
        <item x="221"/>
        <item x="129"/>
        <item x="45"/>
        <item x="127"/>
        <item x="184"/>
        <item x="286"/>
        <item x="223"/>
        <item x="126"/>
        <item x="238"/>
        <item x="254"/>
        <item x="112"/>
        <item x="183"/>
        <item x="185"/>
        <item x="128"/>
        <item x="232"/>
        <item x="268"/>
        <item x="54"/>
        <item x="280"/>
        <item x="66"/>
        <item x="235"/>
        <item x="32"/>
        <item x="222"/>
        <item x="77"/>
        <item x="29"/>
        <item x="36"/>
        <item x="49"/>
        <item x="239"/>
        <item x="53"/>
        <item x="9"/>
        <item x="46"/>
        <item x="121"/>
        <item x="156"/>
        <item x="172"/>
        <item x="110"/>
        <item x="159"/>
        <item x="55"/>
        <item x="91"/>
        <item x="266"/>
        <item x="283"/>
        <item x="113"/>
        <item x="189"/>
        <item x="259"/>
        <item x="252"/>
        <item x="292"/>
        <item x="143"/>
        <item x="33"/>
        <item x="261"/>
        <item x="160"/>
        <item x="193"/>
        <item x="133"/>
        <item x="234"/>
        <item x="227"/>
        <item x="30"/>
        <item x="136"/>
        <item x="186"/>
        <item x="61"/>
        <item x="230"/>
        <item x="212"/>
        <item x="28"/>
        <item x="211"/>
        <item x="85"/>
        <item x="107"/>
        <item x="147"/>
        <item x="278"/>
        <item x="40"/>
        <item x="90"/>
        <item x="271"/>
        <item x="282"/>
        <item x="149"/>
        <item x="295"/>
        <item x="16"/>
        <item x="86"/>
        <item x="20"/>
        <item x="131"/>
        <item x="52"/>
        <item x="80"/>
        <item x="19"/>
        <item x="3"/>
        <item x="210"/>
        <item x="154"/>
        <item x="152"/>
        <item x="179"/>
        <item x="25"/>
        <item x="225"/>
        <item x="243"/>
        <item x="284"/>
        <item x="229"/>
        <item x="177"/>
        <item x="104"/>
        <item x="47"/>
        <item x="144"/>
        <item x="64"/>
        <item x="241"/>
        <item x="200"/>
        <item x="98"/>
        <item x="118"/>
        <item x="79"/>
        <item x="106"/>
        <item x="17"/>
        <item x="165"/>
        <item x="72"/>
        <item x="50"/>
        <item t="default"/>
      </items>
    </pivotField>
  </pivotFields>
  <rowFields count="1">
    <field x="2"/>
  </rowFields>
  <rowItems count="23">
    <i>
      <x v="10"/>
    </i>
    <i>
      <x v="6"/>
    </i>
    <i>
      <x v="8"/>
    </i>
    <i>
      <x v="18"/>
    </i>
    <i>
      <x v="4"/>
    </i>
    <i>
      <x v="17"/>
    </i>
    <i>
      <x v="11"/>
    </i>
    <i>
      <x v="14"/>
    </i>
    <i>
      <x v="9"/>
    </i>
    <i>
      <x v="7"/>
    </i>
    <i>
      <x v="12"/>
    </i>
    <i>
      <x v="15"/>
    </i>
    <i>
      <x v="2"/>
    </i>
    <i>
      <x v="3"/>
    </i>
    <i>
      <x v="13"/>
    </i>
    <i>
      <x v="21"/>
    </i>
    <i>
      <x v="19"/>
    </i>
    <i>
      <x v="20"/>
    </i>
    <i>
      <x v="1"/>
    </i>
    <i>
      <x v="16"/>
    </i>
    <i>
      <x/>
    </i>
    <i>
      <x v="5"/>
    </i>
    <i t="grand">
      <x/>
    </i>
  </rowItems>
  <colItems count="1">
    <i/>
  </colItems>
  <dataFields count="1">
    <dataField name="Sum of Profit" fld="7" baseField="0" baseItem="0"/>
  </dataFields>
  <formats count="7">
    <format dxfId="38">
      <pivotArea collapsedLevelsAreSubtotals="1" fieldPosition="0">
        <references count="1">
          <reference field="2" count="0"/>
        </references>
      </pivotArea>
    </format>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fieldPosition="0">
        <references count="1">
          <reference field="2" count="0"/>
        </references>
      </pivotArea>
    </format>
    <format dxfId="33">
      <pivotArea dataOnly="0" labelOnly="1" grandRow="1" outline="0" fieldPosition="0"/>
    </format>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6C1C14-ABBE-674E-A837-1A552FC9FFBF}" name="PivotTable4"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25" firstHeaderRow="0" firstDataRow="1" firstDataCol="1"/>
  <pivotFields count="8">
    <pivotField showAll="0"/>
    <pivotField showAll="0">
      <items count="7">
        <item x="4"/>
        <item x="2"/>
        <item x="5"/>
        <item x="0"/>
        <item x="3"/>
        <item x="1"/>
        <item t="default"/>
      </items>
    </pivotField>
    <pivotField axis="axisRow" showAll="0">
      <items count="23">
        <item x="8"/>
        <item x="0"/>
        <item x="17"/>
        <item x="15"/>
        <item x="7"/>
        <item x="2"/>
        <item x="21"/>
        <item x="19"/>
        <item x="1"/>
        <item x="3"/>
        <item x="9"/>
        <item x="14"/>
        <item x="12"/>
        <item x="11"/>
        <item x="10"/>
        <item x="13"/>
        <item x="18"/>
        <item x="5"/>
        <item x="16"/>
        <item x="6"/>
        <item x="20"/>
        <item x="4"/>
        <item t="default"/>
      </items>
    </pivotField>
    <pivotField dataField="1" numFmtId="6" showAll="0">
      <items count="268">
        <item x="143"/>
        <item x="25"/>
        <item x="131"/>
        <item x="78"/>
        <item x="80"/>
        <item x="75"/>
        <item x="190"/>
        <item x="123"/>
        <item x="58"/>
        <item x="234"/>
        <item x="232"/>
        <item x="43"/>
        <item x="223"/>
        <item x="13"/>
        <item x="130"/>
        <item x="201"/>
        <item x="18"/>
        <item x="140"/>
        <item x="198"/>
        <item x="236"/>
        <item x="88"/>
        <item x="235"/>
        <item x="50"/>
        <item x="125"/>
        <item x="109"/>
        <item x="30"/>
        <item x="178"/>
        <item x="83"/>
        <item x="212"/>
        <item x="162"/>
        <item x="260"/>
        <item x="225"/>
        <item x="180"/>
        <item x="265"/>
        <item x="95"/>
        <item x="135"/>
        <item x="116"/>
        <item x="73"/>
        <item x="66"/>
        <item x="62"/>
        <item x="229"/>
        <item x="2"/>
        <item x="197"/>
        <item x="82"/>
        <item x="187"/>
        <item x="242"/>
        <item x="57"/>
        <item x="34"/>
        <item x="185"/>
        <item x="8"/>
        <item x="216"/>
        <item x="256"/>
        <item x="102"/>
        <item x="108"/>
        <item x="41"/>
        <item x="55"/>
        <item x="110"/>
        <item x="114"/>
        <item x="164"/>
        <item x="99"/>
        <item x="227"/>
        <item x="244"/>
        <item x="0"/>
        <item x="189"/>
        <item x="159"/>
        <item x="21"/>
        <item x="23"/>
        <item x="188"/>
        <item x="10"/>
        <item x="175"/>
        <item x="36"/>
        <item x="105"/>
        <item x="176"/>
        <item x="26"/>
        <item x="230"/>
        <item x="160"/>
        <item x="138"/>
        <item x="103"/>
        <item x="4"/>
        <item x="15"/>
        <item x="153"/>
        <item x="262"/>
        <item x="258"/>
        <item x="22"/>
        <item x="239"/>
        <item x="199"/>
        <item x="68"/>
        <item x="248"/>
        <item x="151"/>
        <item x="38"/>
        <item x="61"/>
        <item x="167"/>
        <item x="91"/>
        <item x="42"/>
        <item x="261"/>
        <item x="221"/>
        <item x="14"/>
        <item x="84"/>
        <item x="132"/>
        <item x="113"/>
        <item x="207"/>
        <item x="157"/>
        <item x="174"/>
        <item x="12"/>
        <item x="6"/>
        <item x="224"/>
        <item x="89"/>
        <item x="97"/>
        <item x="154"/>
        <item x="118"/>
        <item x="179"/>
        <item x="243"/>
        <item x="94"/>
        <item x="71"/>
        <item x="205"/>
        <item x="96"/>
        <item x="200"/>
        <item x="247"/>
        <item x="136"/>
        <item x="166"/>
        <item x="246"/>
        <item x="186"/>
        <item x="87"/>
        <item x="215"/>
        <item x="141"/>
        <item x="37"/>
        <item x="47"/>
        <item x="161"/>
        <item x="147"/>
        <item x="219"/>
        <item x="210"/>
        <item x="196"/>
        <item x="145"/>
        <item x="181"/>
        <item x="259"/>
        <item x="93"/>
        <item x="128"/>
        <item x="226"/>
        <item x="72"/>
        <item x="156"/>
        <item x="79"/>
        <item x="240"/>
        <item x="266"/>
        <item x="172"/>
        <item x="194"/>
        <item x="33"/>
        <item x="11"/>
        <item x="65"/>
        <item x="257"/>
        <item x="203"/>
        <item x="59"/>
        <item x="90"/>
        <item x="211"/>
        <item x="250"/>
        <item x="40"/>
        <item x="233"/>
        <item x="122"/>
        <item x="129"/>
        <item x="64"/>
        <item x="158"/>
        <item x="148"/>
        <item x="119"/>
        <item x="28"/>
        <item x="183"/>
        <item x="117"/>
        <item x="53"/>
        <item x="252"/>
        <item x="202"/>
        <item x="195"/>
        <item x="251"/>
        <item x="44"/>
        <item x="168"/>
        <item x="74"/>
        <item x="9"/>
        <item x="7"/>
        <item x="48"/>
        <item x="45"/>
        <item x="228"/>
        <item x="104"/>
        <item x="169"/>
        <item x="54"/>
        <item x="214"/>
        <item x="120"/>
        <item x="67"/>
        <item x="152"/>
        <item x="126"/>
        <item x="241"/>
        <item x="32"/>
        <item x="206"/>
        <item x="35"/>
        <item x="127"/>
        <item x="209"/>
        <item x="60"/>
        <item x="115"/>
        <item x="218"/>
        <item x="173"/>
        <item x="171"/>
        <item x="177"/>
        <item x="27"/>
        <item x="213"/>
        <item x="124"/>
        <item x="29"/>
        <item x="238"/>
        <item x="263"/>
        <item x="52"/>
        <item x="106"/>
        <item x="121"/>
        <item x="1"/>
        <item x="231"/>
        <item x="101"/>
        <item x="111"/>
        <item x="245"/>
        <item x="137"/>
        <item x="182"/>
        <item x="254"/>
        <item x="193"/>
        <item x="39"/>
        <item x="31"/>
        <item x="85"/>
        <item x="170"/>
        <item x="192"/>
        <item x="146"/>
        <item x="217"/>
        <item x="139"/>
        <item x="86"/>
        <item x="253"/>
        <item x="249"/>
        <item x="150"/>
        <item x="16"/>
        <item x="56"/>
        <item x="81"/>
        <item x="149"/>
        <item x="133"/>
        <item x="107"/>
        <item x="20"/>
        <item x="51"/>
        <item x="142"/>
        <item x="70"/>
        <item x="208"/>
        <item x="264"/>
        <item x="144"/>
        <item x="5"/>
        <item x="77"/>
        <item x="255"/>
        <item x="204"/>
        <item x="46"/>
        <item x="19"/>
        <item x="222"/>
        <item x="3"/>
        <item x="220"/>
        <item x="63"/>
        <item x="98"/>
        <item x="191"/>
        <item x="134"/>
        <item x="163"/>
        <item x="237"/>
        <item x="184"/>
        <item x="24"/>
        <item x="100"/>
        <item x="165"/>
        <item x="112"/>
        <item x="92"/>
        <item x="155"/>
        <item x="76"/>
        <item x="69"/>
        <item x="17"/>
        <item x="49"/>
        <item t="default"/>
      </items>
    </pivotField>
    <pivotField dataField="1" numFmtId="3" showAll="0">
      <items count="120">
        <item x="106"/>
        <item x="49"/>
        <item x="47"/>
        <item x="9"/>
        <item x="25"/>
        <item x="36"/>
        <item x="33"/>
        <item x="117"/>
        <item x="82"/>
        <item x="26"/>
        <item x="38"/>
        <item x="40"/>
        <item x="90"/>
        <item x="101"/>
        <item x="45"/>
        <item x="59"/>
        <item x="6"/>
        <item x="111"/>
        <item x="109"/>
        <item x="41"/>
        <item x="14"/>
        <item x="42"/>
        <item x="29"/>
        <item x="8"/>
        <item x="110"/>
        <item x="62"/>
        <item x="79"/>
        <item x="15"/>
        <item x="18"/>
        <item x="66"/>
        <item x="70"/>
        <item x="114"/>
        <item x="27"/>
        <item x="104"/>
        <item x="51"/>
        <item x="0"/>
        <item x="88"/>
        <item x="12"/>
        <item x="61"/>
        <item x="89"/>
        <item x="76"/>
        <item x="32"/>
        <item x="50"/>
        <item x="19"/>
        <item x="11"/>
        <item x="2"/>
        <item x="53"/>
        <item x="34"/>
        <item x="39"/>
        <item x="57"/>
        <item x="17"/>
        <item x="55"/>
        <item x="23"/>
        <item x="99"/>
        <item x="85"/>
        <item x="96"/>
        <item x="28"/>
        <item x="21"/>
        <item x="37"/>
        <item x="71"/>
        <item x="24"/>
        <item x="107"/>
        <item x="58"/>
        <item x="20"/>
        <item x="46"/>
        <item x="7"/>
        <item x="83"/>
        <item x="65"/>
        <item x="98"/>
        <item x="72"/>
        <item x="63"/>
        <item x="22"/>
        <item x="13"/>
        <item x="116"/>
        <item x="75"/>
        <item x="93"/>
        <item x="78"/>
        <item x="108"/>
        <item x="74"/>
        <item x="35"/>
        <item x="81"/>
        <item x="48"/>
        <item x="105"/>
        <item x="44"/>
        <item x="100"/>
        <item x="60"/>
        <item x="30"/>
        <item x="3"/>
        <item x="95"/>
        <item x="68"/>
        <item x="77"/>
        <item x="97"/>
        <item x="56"/>
        <item x="67"/>
        <item x="92"/>
        <item x="113"/>
        <item x="118"/>
        <item x="16"/>
        <item x="64"/>
        <item x="80"/>
        <item x="84"/>
        <item x="115"/>
        <item x="91"/>
        <item x="102"/>
        <item x="103"/>
        <item x="87"/>
        <item x="112"/>
        <item x="31"/>
        <item x="4"/>
        <item x="5"/>
        <item x="94"/>
        <item x="73"/>
        <item x="1"/>
        <item x="10"/>
        <item x="54"/>
        <item x="43"/>
        <item x="86"/>
        <item x="69"/>
        <item x="52"/>
        <item t="default"/>
      </items>
    </pivotField>
    <pivotField numFmtId="6" showAll="0"/>
    <pivotField numFmtId="6" showAll="0"/>
    <pivotField dataField="1" numFmtId="6" showAll="0">
      <items count="300">
        <item x="101"/>
        <item x="10"/>
        <item x="161"/>
        <item x="145"/>
        <item x="35"/>
        <item x="237"/>
        <item x="294"/>
        <item x="4"/>
        <item x="168"/>
        <item x="192"/>
        <item x="76"/>
        <item x="244"/>
        <item x="216"/>
        <item x="139"/>
        <item x="140"/>
        <item x="297"/>
        <item x="236"/>
        <item x="120"/>
        <item x="157"/>
        <item x="267"/>
        <item x="37"/>
        <item x="88"/>
        <item x="26"/>
        <item x="122"/>
        <item x="217"/>
        <item x="155"/>
        <item x="150"/>
        <item x="245"/>
        <item x="84"/>
        <item x="18"/>
        <item x="141"/>
        <item x="153"/>
        <item x="58"/>
        <item x="78"/>
        <item x="2"/>
        <item x="206"/>
        <item x="124"/>
        <item x="87"/>
        <item x="201"/>
        <item x="130"/>
        <item x="69"/>
        <item x="194"/>
        <item x="14"/>
        <item x="43"/>
        <item x="70"/>
        <item x="93"/>
        <item x="220"/>
        <item x="81"/>
        <item x="258"/>
        <item x="257"/>
        <item x="123"/>
        <item x="13"/>
        <item x="134"/>
        <item x="253"/>
        <item x="263"/>
        <item x="209"/>
        <item x="27"/>
        <item x="59"/>
        <item x="51"/>
        <item x="24"/>
        <item x="115"/>
        <item x="0"/>
        <item x="191"/>
        <item x="202"/>
        <item x="290"/>
        <item x="89"/>
        <item x="39"/>
        <item x="207"/>
        <item x="256"/>
        <item x="173"/>
        <item x="44"/>
        <item x="233"/>
        <item x="196"/>
        <item x="21"/>
        <item x="174"/>
        <item x="108"/>
        <item x="114"/>
        <item x="23"/>
        <item x="250"/>
        <item x="105"/>
        <item x="146"/>
        <item x="176"/>
        <item x="289"/>
        <item x="8"/>
        <item x="204"/>
        <item x="246"/>
        <item x="285"/>
        <item x="31"/>
        <item x="99"/>
        <item x="111"/>
        <item x="171"/>
        <item x="100"/>
        <item x="260"/>
        <item x="62"/>
        <item x="291"/>
        <item x="248"/>
        <item x="270"/>
        <item x="208"/>
        <item x="65"/>
        <item x="203"/>
        <item x="60"/>
        <item x="109"/>
        <item x="22"/>
        <item x="116"/>
        <item x="63"/>
        <item x="188"/>
        <item x="148"/>
        <item x="97"/>
        <item x="180"/>
        <item x="276"/>
        <item x="42"/>
        <item x="190"/>
        <item x="219"/>
        <item x="182"/>
        <item x="56"/>
        <item x="119"/>
        <item x="264"/>
        <item x="178"/>
        <item x="262"/>
        <item x="287"/>
        <item x="195"/>
        <item x="166"/>
        <item x="224"/>
        <item x="218"/>
        <item x="293"/>
        <item x="12"/>
        <item x="71"/>
        <item x="15"/>
        <item x="274"/>
        <item x="251"/>
        <item x="167"/>
        <item x="231"/>
        <item x="242"/>
        <item x="163"/>
        <item x="137"/>
        <item x="138"/>
        <item x="83"/>
        <item x="175"/>
        <item x="142"/>
        <item x="94"/>
        <item x="74"/>
        <item x="249"/>
        <item x="187"/>
        <item x="125"/>
        <item x="151"/>
        <item x="95"/>
        <item x="132"/>
        <item x="158"/>
        <item x="164"/>
        <item x="279"/>
        <item x="67"/>
        <item x="214"/>
        <item x="240"/>
        <item x="6"/>
        <item x="269"/>
        <item x="96"/>
        <item x="169"/>
        <item x="213"/>
        <item x="197"/>
        <item x="226"/>
        <item x="296"/>
        <item x="228"/>
        <item x="298"/>
        <item x="255"/>
        <item x="38"/>
        <item x="273"/>
        <item x="103"/>
        <item x="75"/>
        <item x="1"/>
        <item x="170"/>
        <item x="181"/>
        <item x="68"/>
        <item x="48"/>
        <item x="92"/>
        <item x="82"/>
        <item x="102"/>
        <item x="162"/>
        <item x="7"/>
        <item x="275"/>
        <item x="281"/>
        <item x="135"/>
        <item x="117"/>
        <item x="34"/>
        <item x="205"/>
        <item x="199"/>
        <item x="198"/>
        <item x="73"/>
        <item x="288"/>
        <item x="247"/>
        <item x="277"/>
        <item x="57"/>
        <item x="272"/>
        <item x="41"/>
        <item x="215"/>
        <item x="5"/>
        <item x="11"/>
        <item x="265"/>
        <item x="221"/>
        <item x="129"/>
        <item x="45"/>
        <item x="127"/>
        <item x="184"/>
        <item x="286"/>
        <item x="223"/>
        <item x="126"/>
        <item x="238"/>
        <item x="254"/>
        <item x="112"/>
        <item x="183"/>
        <item x="185"/>
        <item x="128"/>
        <item x="232"/>
        <item x="268"/>
        <item x="54"/>
        <item x="280"/>
        <item x="66"/>
        <item x="235"/>
        <item x="32"/>
        <item x="222"/>
        <item x="77"/>
        <item x="29"/>
        <item x="36"/>
        <item x="49"/>
        <item x="239"/>
        <item x="53"/>
        <item x="9"/>
        <item x="46"/>
        <item x="121"/>
        <item x="156"/>
        <item x="172"/>
        <item x="110"/>
        <item x="159"/>
        <item x="55"/>
        <item x="91"/>
        <item x="266"/>
        <item x="283"/>
        <item x="113"/>
        <item x="189"/>
        <item x="259"/>
        <item x="252"/>
        <item x="292"/>
        <item x="143"/>
        <item x="33"/>
        <item x="261"/>
        <item x="160"/>
        <item x="193"/>
        <item x="133"/>
        <item x="234"/>
        <item x="227"/>
        <item x="30"/>
        <item x="136"/>
        <item x="186"/>
        <item x="61"/>
        <item x="230"/>
        <item x="212"/>
        <item x="28"/>
        <item x="211"/>
        <item x="85"/>
        <item x="107"/>
        <item x="147"/>
        <item x="278"/>
        <item x="40"/>
        <item x="90"/>
        <item x="271"/>
        <item x="282"/>
        <item x="149"/>
        <item x="295"/>
        <item x="16"/>
        <item x="86"/>
        <item x="20"/>
        <item x="131"/>
        <item x="52"/>
        <item x="80"/>
        <item x="19"/>
        <item x="3"/>
        <item x="210"/>
        <item x="154"/>
        <item x="152"/>
        <item x="179"/>
        <item x="25"/>
        <item x="225"/>
        <item x="243"/>
        <item x="284"/>
        <item x="229"/>
        <item x="177"/>
        <item x="104"/>
        <item x="47"/>
        <item x="144"/>
        <item x="64"/>
        <item x="241"/>
        <item x="200"/>
        <item x="98"/>
        <item x="118"/>
        <item x="79"/>
        <item x="106"/>
        <item x="17"/>
        <item x="165"/>
        <item x="72"/>
        <item x="50"/>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x v="21"/>
    </i>
  </rowItems>
  <colFields count="1">
    <field x="-2"/>
  </colFields>
  <colItems count="3">
    <i>
      <x/>
    </i>
    <i i="1">
      <x v="1"/>
    </i>
    <i i="2">
      <x v="2"/>
    </i>
  </colItems>
  <dataFields count="3">
    <dataField name="Sum of Amount" fld="3" baseField="0" baseItem="0" numFmtId="166"/>
    <dataField name="Sum of Units" fld="4" baseField="0" baseItem="0"/>
    <dataField name="Sum of Profit" fld="7" baseField="0" baseItem="0" numFmtId="166"/>
  </dataFields>
  <formats count="7">
    <format dxfId="17">
      <pivotArea type="all" dataOnly="0" outline="0" fieldPosition="0"/>
    </format>
    <format dxfId="16">
      <pivotArea outline="0" collapsedLevelsAreSubtotals="1" fieldPosition="0"/>
    </format>
    <format dxfId="15">
      <pivotArea field="2" type="button" dataOnly="0" labelOnly="1" outline="0" axis="axisRow" fieldPosition="0"/>
    </format>
    <format dxfId="14">
      <pivotArea dataOnly="0" labelOnly="1" fieldPosition="0">
        <references count="1">
          <reference field="2" count="0"/>
        </references>
      </pivotArea>
    </format>
    <format dxfId="13">
      <pivotArea dataOnly="0" labelOnly="1" outline="0" fieldPosition="0">
        <references count="1">
          <reference field="4294967294" count="3">
            <x v="0"/>
            <x v="1"/>
            <x v="2"/>
          </reference>
        </references>
      </pivotArea>
    </format>
    <format dxfId="7">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8789129B-1B1D-AA4E-A79E-787FFB8921F1}" sourceName="Sales Person">
  <pivotTables>
    <pivotTable tabId="4" name="PivotTable4"/>
  </pivotTables>
  <data>
    <tabular pivotCacheId="1626062687">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DEA642D-36FC-954E-9310-64F813379840}" sourceName="Geography">
  <pivotTables>
    <pivotTable tabId="9" name="PivotTable3"/>
  </pivotTables>
  <data>
    <tabular pivotCacheId="1610257946">
      <items count="6">
        <i x="4" s="1"/>
        <i x="2" s="1"/>
        <i x="5"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477E130-6260-784E-87D8-9423E78D32F3}" cache="Slicer_Sales_Person" caption="Sales Person" columnCount="2"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1ECDC0C-421A-B94D-B418-6337D61AF446}" cache="Slicer_Geography" caption="Geograph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J23:K45" totalsRowShown="0">
  <autoFilter ref="J23:K45" xr:uid="{6DAC1E92-D947-4232-891E-65555AD7A47E}"/>
  <tableColumns count="2">
    <tableColumn id="1" xr3:uid="{1B8963D1-E60F-4400-A175-651A513B826F}" name="Product"/>
    <tableColumn id="2" xr3:uid="{1798A7DA-FB9F-46D3-AA0A-B6BCA4A81AC3}" name="Cost per unit" dataDxfId="92"/>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B55BD8-4D2C-4A44-97DF-B2CABD961084}" name="Data" displayName="Data" ref="C9:G308" totalsRowShown="0" headerRowDxfId="91">
  <tableColumns count="5">
    <tableColumn id="1" xr3:uid="{5874CD82-1451-CE4E-9293-3F244CBFB44E}" name="Sales Person"/>
    <tableColumn id="2" xr3:uid="{F10A789D-65F4-3349-9030-5762CA8BF106}" name="Geography"/>
    <tableColumn id="3" xr3:uid="{6B2AE2B0-464E-1446-8869-E503ED224CC2}" name="Product"/>
    <tableColumn id="4" xr3:uid="{75BD72EE-930A-274A-9B7D-61C576D51FC3}" name="Amount" dataDxfId="90"/>
    <tableColumn id="5" xr3:uid="{7DACB39F-8C06-4B4D-B626-FFED926B24FF}" name="Units" dataDxfId="8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12AF2A-18AA-5646-88A7-58CEE0D2D85C}" name="Data4" displayName="Data4" ref="A3:E303" totalsRowShown="0" headerRowDxfId="88">
  <autoFilter ref="A3:E303" xr:uid="{6D12AF2A-18AA-5646-88A7-58CEE0D2D85C}"/>
  <sortState xmlns:xlrd2="http://schemas.microsoft.com/office/spreadsheetml/2017/richdata2" ref="A4:E303">
    <sortCondition sortBy="cellColor" ref="D3:D303" dxfId="87"/>
  </sortState>
  <tableColumns count="5">
    <tableColumn id="1" xr3:uid="{3FF88DB9-2776-184C-BE2C-C92F191CA8DA}" name="Sales Person"/>
    <tableColumn id="2" xr3:uid="{021F3EA8-8699-A74A-973B-8CF22C1858D3}" name="Geography"/>
    <tableColumn id="3" xr3:uid="{49377E17-6F7C-804C-A3FB-C29D3C423509}" name="Product"/>
    <tableColumn id="4" xr3:uid="{792C0687-56BC-A147-8C26-B8259173976C}" name="Amount" dataDxfId="86"/>
    <tableColumn id="5" xr3:uid="{8CA92CF6-A21A-BA40-BC3E-8B372529F9EC}" name="Units" dataDxfId="85"/>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5FC1C8-531D-8C40-A7B9-FCFF55EEB0F6}" name="Data6" displayName="Data6" ref="K2:O301" totalsRowShown="0" headerRowDxfId="67">
  <tableColumns count="5">
    <tableColumn id="1" xr3:uid="{B0CE9277-EC0C-6B4A-B402-95BDDF01A807}" name="Sales Person"/>
    <tableColumn id="2" xr3:uid="{00DC6197-F748-F443-943A-69ACDE78C472}" name="Geography"/>
    <tableColumn id="3" xr3:uid="{2D13DAA1-2DB9-8D49-9F06-E7CCC44B4BDA}" name="Product"/>
    <tableColumn id="4" xr3:uid="{FADFA66E-FB38-2241-8EEA-9F3B63464E4D}" name="Amount" dataDxfId="66"/>
    <tableColumn id="5" xr3:uid="{78137433-AC4C-4546-8880-3819A2229EA5}" name="Units" dataDxfId="6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E9BDAE-02A1-0B4F-AA36-AC05492A2918}" name="Data5" displayName="Data5" ref="I1:P300" totalsRowShown="0" headerRowDxfId="23" dataDxfId="22">
  <tableColumns count="8">
    <tableColumn id="1" xr3:uid="{5730F245-4482-9C49-8FEF-050A0CD9360D}" name="Sales Person" dataDxfId="31"/>
    <tableColumn id="2" xr3:uid="{06AF1E2F-94C8-1E42-983F-CC37CDA336C4}" name="Geography" dataDxfId="30"/>
    <tableColumn id="3" xr3:uid="{750F83A5-BAC0-724B-81A3-ABFF253412D4}" name="Product" dataDxfId="29"/>
    <tableColumn id="4" xr3:uid="{94A6B8D1-8338-AC43-9F97-900804BE0C54}" name="Amount" dataDxfId="28"/>
    <tableColumn id="5" xr3:uid="{AB24EB36-DFEA-9A40-B62D-3F9ABCFE57EC}" name="Units" dataDxfId="27"/>
    <tableColumn id="6" xr3:uid="{7ACE7739-DE42-7F47-B473-398E1D8ABAF1}" name="Cost per unit" dataDxfId="26">
      <calculatedColumnFormula>_xlfn.XLOOKUP(Data5[[#This Row],[Product]],products7[Product],products7[Cost per unit])</calculatedColumnFormula>
    </tableColumn>
    <tableColumn id="7" xr3:uid="{185405B5-F933-A645-A983-DC29916DC606}" name="Total Cost" dataDxfId="25">
      <calculatedColumnFormula>Data5[[#This Row],[Units]]*Data5[[#This Row],[Cost per unit]]</calculatedColumnFormula>
    </tableColumn>
    <tableColumn id="8" xr3:uid="{90CB4595-7DD9-4B4C-A79C-750CD614296B}" name="Profit" dataDxfId="24">
      <calculatedColumnFormula>Data5[[#This Row],[Amount]]-Data5[[#This Row],[Total Cost]]</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5ACBBB-7283-C548-91F6-EBCB22DA005C}" name="products7" displayName="products7" ref="S1:T23" totalsRowShown="0" headerRowDxfId="19" dataDxfId="18">
  <autoFilter ref="S1:T23" xr:uid="{AF5ACBBB-7283-C548-91F6-EBCB22DA005C}"/>
  <tableColumns count="2">
    <tableColumn id="1" xr3:uid="{B6D848BD-66F2-5148-B7B7-99ABA93FFEE8}" name="Product" dataDxfId="21"/>
    <tableColumn id="2" xr3:uid="{6B5FE8B0-CCE8-5B4C-987F-410F978E7B6B}" name="Cost per unit" dataDxfId="2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ivotTable" Target="../pivotTables/pivotTable5.xml"/><Relationship Id="rId5" Type="http://schemas.microsoft.com/office/2007/relationships/slicer" Target="../slicers/slicer2.xm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9:K655"/>
  <sheetViews>
    <sheetView showGridLines="0" topLeftCell="A6" zoomScale="145" zoomScaleNormal="145" workbookViewId="0">
      <selection activeCell="J23" sqref="J23:K45"/>
    </sheetView>
  </sheetViews>
  <sheetFormatPr baseColWidth="10" defaultColWidth="8.83203125" defaultRowHeight="15" x14ac:dyDescent="0.2"/>
  <cols>
    <col min="1" max="1" width="1.6640625" customWidth="1"/>
    <col min="2" max="2" width="3.6640625" customWidth="1"/>
    <col min="3" max="3" width="19.5" customWidth="1"/>
    <col min="4" max="4" width="12" bestFit="1" customWidth="1"/>
    <col min="5" max="5" width="21.83203125" bestFit="1" customWidth="1"/>
    <col min="6" max="6" width="13.5" customWidth="1"/>
    <col min="7" max="7" width="5.1640625" bestFit="1" customWidth="1"/>
    <col min="9" max="9" width="3.83203125" customWidth="1"/>
    <col min="10" max="10" width="53.83203125" customWidth="1"/>
    <col min="11" max="11" width="13.5" bestFit="1" customWidth="1"/>
    <col min="24" max="24" width="21.83203125" bestFit="1" customWidth="1"/>
    <col min="25" max="25" width="14.5" customWidth="1"/>
    <col min="30" max="30" width="21.83203125" customWidth="1"/>
  </cols>
  <sheetData>
    <row r="9" spans="3:10" x14ac:dyDescent="0.2">
      <c r="C9" s="4" t="s">
        <v>11</v>
      </c>
      <c r="D9" s="4" t="s">
        <v>12</v>
      </c>
      <c r="E9" s="4" t="s">
        <v>0</v>
      </c>
      <c r="F9" s="8" t="s">
        <v>1</v>
      </c>
      <c r="G9" s="8" t="s">
        <v>49</v>
      </c>
      <c r="I9" s="7" t="s">
        <v>42</v>
      </c>
      <c r="J9" s="1"/>
    </row>
    <row r="10" spans="3:10" x14ac:dyDescent="0.2">
      <c r="C10" t="s">
        <v>40</v>
      </c>
      <c r="D10" t="s">
        <v>37</v>
      </c>
      <c r="E10" t="s">
        <v>30</v>
      </c>
      <c r="F10" s="2">
        <v>1624</v>
      </c>
      <c r="G10" s="3">
        <v>114</v>
      </c>
      <c r="I10" s="5">
        <v>1</v>
      </c>
      <c r="J10" s="6" t="s">
        <v>43</v>
      </c>
    </row>
    <row r="11" spans="3:10" x14ac:dyDescent="0.2">
      <c r="C11" t="s">
        <v>8</v>
      </c>
      <c r="D11" t="s">
        <v>35</v>
      </c>
      <c r="E11" t="s">
        <v>32</v>
      </c>
      <c r="F11" s="2">
        <v>6706</v>
      </c>
      <c r="G11" s="3">
        <v>459</v>
      </c>
      <c r="I11" s="5">
        <v>2</v>
      </c>
      <c r="J11" s="6" t="s">
        <v>52</v>
      </c>
    </row>
    <row r="12" spans="3:10" x14ac:dyDescent="0.2">
      <c r="C12" t="s">
        <v>9</v>
      </c>
      <c r="D12" t="s">
        <v>35</v>
      </c>
      <c r="E12" t="s">
        <v>4</v>
      </c>
      <c r="F12" s="2">
        <v>959</v>
      </c>
      <c r="G12" s="3">
        <v>147</v>
      </c>
      <c r="I12" s="5">
        <v>3</v>
      </c>
      <c r="J12" s="6" t="s">
        <v>44</v>
      </c>
    </row>
    <row r="13" spans="3:10" x14ac:dyDescent="0.2">
      <c r="C13" t="s">
        <v>41</v>
      </c>
      <c r="D13" t="s">
        <v>36</v>
      </c>
      <c r="E13" t="s">
        <v>18</v>
      </c>
      <c r="F13" s="2">
        <v>9632</v>
      </c>
      <c r="G13" s="3">
        <v>288</v>
      </c>
      <c r="I13" s="5">
        <v>4</v>
      </c>
      <c r="J13" s="6" t="s">
        <v>45</v>
      </c>
    </row>
    <row r="14" spans="3:10" x14ac:dyDescent="0.2">
      <c r="C14" t="s">
        <v>6</v>
      </c>
      <c r="D14" t="s">
        <v>39</v>
      </c>
      <c r="E14" t="s">
        <v>25</v>
      </c>
      <c r="F14" s="2">
        <v>2100</v>
      </c>
      <c r="G14" s="3">
        <v>414</v>
      </c>
      <c r="I14" s="5">
        <v>5</v>
      </c>
      <c r="J14" s="6" t="s">
        <v>53</v>
      </c>
    </row>
    <row r="15" spans="3:10" x14ac:dyDescent="0.2">
      <c r="C15" t="s">
        <v>40</v>
      </c>
      <c r="D15" t="s">
        <v>35</v>
      </c>
      <c r="E15" t="s">
        <v>33</v>
      </c>
      <c r="F15" s="2">
        <v>8869</v>
      </c>
      <c r="G15" s="3">
        <v>432</v>
      </c>
      <c r="I15" s="5">
        <v>6</v>
      </c>
      <c r="J15" s="6" t="s">
        <v>54</v>
      </c>
    </row>
    <row r="16" spans="3:10" x14ac:dyDescent="0.2">
      <c r="C16" t="s">
        <v>6</v>
      </c>
      <c r="D16" t="s">
        <v>38</v>
      </c>
      <c r="E16" t="s">
        <v>31</v>
      </c>
      <c r="F16" s="2">
        <v>2681</v>
      </c>
      <c r="G16" s="3">
        <v>54</v>
      </c>
      <c r="I16" s="5">
        <v>7</v>
      </c>
      <c r="J16" s="6" t="s">
        <v>48</v>
      </c>
    </row>
    <row r="17" spans="3:11" x14ac:dyDescent="0.2">
      <c r="C17" t="s">
        <v>8</v>
      </c>
      <c r="D17" t="s">
        <v>35</v>
      </c>
      <c r="E17" t="s">
        <v>22</v>
      </c>
      <c r="F17" s="2">
        <v>5012</v>
      </c>
      <c r="G17" s="3">
        <v>210</v>
      </c>
      <c r="I17" s="5">
        <v>8</v>
      </c>
      <c r="J17" s="6" t="s">
        <v>51</v>
      </c>
    </row>
    <row r="18" spans="3:11" x14ac:dyDescent="0.2">
      <c r="C18" t="s">
        <v>7</v>
      </c>
      <c r="D18" t="s">
        <v>38</v>
      </c>
      <c r="E18" t="s">
        <v>14</v>
      </c>
      <c r="F18" s="2">
        <v>1281</v>
      </c>
      <c r="G18" s="3">
        <v>75</v>
      </c>
      <c r="I18" s="5">
        <v>9</v>
      </c>
      <c r="J18" s="6" t="s">
        <v>46</v>
      </c>
    </row>
    <row r="19" spans="3:11" x14ac:dyDescent="0.2">
      <c r="C19" t="s">
        <v>5</v>
      </c>
      <c r="D19" t="s">
        <v>37</v>
      </c>
      <c r="E19" t="s">
        <v>14</v>
      </c>
      <c r="F19" s="2">
        <v>4991</v>
      </c>
      <c r="G19" s="3">
        <v>12</v>
      </c>
      <c r="I19" s="5">
        <v>10</v>
      </c>
      <c r="J19" s="6" t="s">
        <v>47</v>
      </c>
    </row>
    <row r="20" spans="3:11" x14ac:dyDescent="0.2">
      <c r="C20" t="s">
        <v>2</v>
      </c>
      <c r="D20" t="s">
        <v>39</v>
      </c>
      <c r="E20" t="s">
        <v>25</v>
      </c>
      <c r="F20" s="2">
        <v>1785</v>
      </c>
      <c r="G20" s="3">
        <v>462</v>
      </c>
    </row>
    <row r="21" spans="3:11" x14ac:dyDescent="0.2">
      <c r="C21" t="s">
        <v>3</v>
      </c>
      <c r="D21" t="s">
        <v>37</v>
      </c>
      <c r="E21" t="s">
        <v>17</v>
      </c>
      <c r="F21" s="2">
        <v>3983</v>
      </c>
      <c r="G21" s="3">
        <v>144</v>
      </c>
    </row>
    <row r="22" spans="3:11" x14ac:dyDescent="0.2">
      <c r="C22" t="s">
        <v>9</v>
      </c>
      <c r="D22" t="s">
        <v>38</v>
      </c>
      <c r="E22" t="s">
        <v>16</v>
      </c>
      <c r="F22" s="2">
        <v>2646</v>
      </c>
      <c r="G22" s="3">
        <v>120</v>
      </c>
    </row>
    <row r="23" spans="3:11" x14ac:dyDescent="0.2">
      <c r="C23" t="s">
        <v>2</v>
      </c>
      <c r="D23" t="s">
        <v>34</v>
      </c>
      <c r="E23" t="s">
        <v>13</v>
      </c>
      <c r="F23" s="2">
        <v>252</v>
      </c>
      <c r="G23" s="3">
        <v>54</v>
      </c>
      <c r="J23" t="s">
        <v>0</v>
      </c>
      <c r="K23" t="s">
        <v>50</v>
      </c>
    </row>
    <row r="24" spans="3:11" x14ac:dyDescent="0.2">
      <c r="C24" t="s">
        <v>3</v>
      </c>
      <c r="D24" t="s">
        <v>35</v>
      </c>
      <c r="E24" t="s">
        <v>25</v>
      </c>
      <c r="F24" s="2">
        <v>2464</v>
      </c>
      <c r="G24" s="3">
        <v>234</v>
      </c>
      <c r="J24" t="s">
        <v>13</v>
      </c>
      <c r="K24" s="9">
        <v>9.33</v>
      </c>
    </row>
    <row r="25" spans="3:11" x14ac:dyDescent="0.2">
      <c r="C25" t="s">
        <v>3</v>
      </c>
      <c r="D25" t="s">
        <v>35</v>
      </c>
      <c r="E25" t="s">
        <v>29</v>
      </c>
      <c r="F25" s="2">
        <v>2114</v>
      </c>
      <c r="G25" s="3">
        <v>66</v>
      </c>
      <c r="J25" t="s">
        <v>14</v>
      </c>
      <c r="K25" s="9">
        <v>11.7</v>
      </c>
    </row>
    <row r="26" spans="3:11" x14ac:dyDescent="0.2">
      <c r="C26" t="s">
        <v>6</v>
      </c>
      <c r="D26" t="s">
        <v>37</v>
      </c>
      <c r="E26" t="s">
        <v>31</v>
      </c>
      <c r="F26" s="2">
        <v>7693</v>
      </c>
      <c r="G26" s="3">
        <v>87</v>
      </c>
      <c r="J26" t="s">
        <v>4</v>
      </c>
      <c r="K26" s="9">
        <v>11.88</v>
      </c>
    </row>
    <row r="27" spans="3:11" x14ac:dyDescent="0.2">
      <c r="C27" t="s">
        <v>5</v>
      </c>
      <c r="D27" t="s">
        <v>34</v>
      </c>
      <c r="E27" t="s">
        <v>20</v>
      </c>
      <c r="F27" s="2">
        <v>15610</v>
      </c>
      <c r="G27" s="3">
        <v>339</v>
      </c>
      <c r="J27" t="s">
        <v>15</v>
      </c>
      <c r="K27" s="9">
        <v>11.73</v>
      </c>
    </row>
    <row r="28" spans="3:11" x14ac:dyDescent="0.2">
      <c r="C28" t="s">
        <v>41</v>
      </c>
      <c r="D28" t="s">
        <v>34</v>
      </c>
      <c r="E28" t="s">
        <v>22</v>
      </c>
      <c r="F28" s="2">
        <v>336</v>
      </c>
      <c r="G28" s="3">
        <v>144</v>
      </c>
      <c r="J28" t="s">
        <v>16</v>
      </c>
      <c r="K28" s="9">
        <v>8.7899999999999991</v>
      </c>
    </row>
    <row r="29" spans="3:11" x14ac:dyDescent="0.2">
      <c r="C29" t="s">
        <v>2</v>
      </c>
      <c r="D29" t="s">
        <v>39</v>
      </c>
      <c r="E29" t="s">
        <v>20</v>
      </c>
      <c r="F29" s="2">
        <v>9443</v>
      </c>
      <c r="G29" s="3">
        <v>162</v>
      </c>
      <c r="J29" t="s">
        <v>17</v>
      </c>
      <c r="K29" s="9">
        <v>3.11</v>
      </c>
    </row>
    <row r="30" spans="3:11" x14ac:dyDescent="0.2">
      <c r="C30" t="s">
        <v>9</v>
      </c>
      <c r="D30" t="s">
        <v>34</v>
      </c>
      <c r="E30" t="s">
        <v>23</v>
      </c>
      <c r="F30" s="2">
        <v>8155</v>
      </c>
      <c r="G30" s="3">
        <v>90</v>
      </c>
      <c r="J30" t="s">
        <v>18</v>
      </c>
      <c r="K30" s="9">
        <v>6.47</v>
      </c>
    </row>
    <row r="31" spans="3:11" x14ac:dyDescent="0.2">
      <c r="C31" t="s">
        <v>8</v>
      </c>
      <c r="D31" t="s">
        <v>38</v>
      </c>
      <c r="E31" t="s">
        <v>23</v>
      </c>
      <c r="F31" s="2">
        <v>1701</v>
      </c>
      <c r="G31" s="3">
        <v>234</v>
      </c>
      <c r="J31" t="s">
        <v>19</v>
      </c>
      <c r="K31" s="9">
        <v>7.64</v>
      </c>
    </row>
    <row r="32" spans="3:11" x14ac:dyDescent="0.2">
      <c r="C32" t="s">
        <v>10</v>
      </c>
      <c r="D32" t="s">
        <v>38</v>
      </c>
      <c r="E32" t="s">
        <v>22</v>
      </c>
      <c r="F32" s="2">
        <v>2205</v>
      </c>
      <c r="G32" s="3">
        <v>141</v>
      </c>
      <c r="J32" t="s">
        <v>20</v>
      </c>
      <c r="K32" s="9">
        <v>10.62</v>
      </c>
    </row>
    <row r="33" spans="3:11" x14ac:dyDescent="0.2">
      <c r="C33" t="s">
        <v>8</v>
      </c>
      <c r="D33" t="s">
        <v>37</v>
      </c>
      <c r="E33" t="s">
        <v>19</v>
      </c>
      <c r="F33" s="2">
        <v>1771</v>
      </c>
      <c r="G33" s="3">
        <v>204</v>
      </c>
      <c r="J33" t="s">
        <v>21</v>
      </c>
      <c r="K33" s="9">
        <v>9</v>
      </c>
    </row>
    <row r="34" spans="3:11" x14ac:dyDescent="0.2">
      <c r="C34" t="s">
        <v>41</v>
      </c>
      <c r="D34" t="s">
        <v>35</v>
      </c>
      <c r="E34" t="s">
        <v>15</v>
      </c>
      <c r="F34" s="2">
        <v>2114</v>
      </c>
      <c r="G34" s="3">
        <v>186</v>
      </c>
      <c r="J34" t="s">
        <v>22</v>
      </c>
      <c r="K34" s="9">
        <v>9.77</v>
      </c>
    </row>
    <row r="35" spans="3:11" x14ac:dyDescent="0.2">
      <c r="C35" t="s">
        <v>41</v>
      </c>
      <c r="D35" t="s">
        <v>36</v>
      </c>
      <c r="E35" t="s">
        <v>13</v>
      </c>
      <c r="F35" s="2">
        <v>10311</v>
      </c>
      <c r="G35" s="3">
        <v>231</v>
      </c>
      <c r="J35" t="s">
        <v>23</v>
      </c>
      <c r="K35" s="9">
        <v>6.49</v>
      </c>
    </row>
    <row r="36" spans="3:11" x14ac:dyDescent="0.2">
      <c r="C36" t="s">
        <v>3</v>
      </c>
      <c r="D36" t="s">
        <v>39</v>
      </c>
      <c r="E36" t="s">
        <v>16</v>
      </c>
      <c r="F36" s="2">
        <v>21</v>
      </c>
      <c r="G36" s="3">
        <v>168</v>
      </c>
      <c r="J36" t="s">
        <v>24</v>
      </c>
      <c r="K36" s="9">
        <v>4.97</v>
      </c>
    </row>
    <row r="37" spans="3:11" x14ac:dyDescent="0.2">
      <c r="C37" t="s">
        <v>10</v>
      </c>
      <c r="D37" t="s">
        <v>35</v>
      </c>
      <c r="E37" t="s">
        <v>20</v>
      </c>
      <c r="F37" s="2">
        <v>1974</v>
      </c>
      <c r="G37" s="3">
        <v>195</v>
      </c>
      <c r="J37" t="s">
        <v>25</v>
      </c>
      <c r="K37" s="9">
        <v>13.15</v>
      </c>
    </row>
    <row r="38" spans="3:11" x14ac:dyDescent="0.2">
      <c r="C38" t="s">
        <v>5</v>
      </c>
      <c r="D38" t="s">
        <v>36</v>
      </c>
      <c r="E38" t="s">
        <v>23</v>
      </c>
      <c r="F38" s="2">
        <v>6314</v>
      </c>
      <c r="G38" s="3">
        <v>15</v>
      </c>
      <c r="J38" t="s">
        <v>26</v>
      </c>
      <c r="K38" s="9">
        <v>5.6</v>
      </c>
    </row>
    <row r="39" spans="3:11" x14ac:dyDescent="0.2">
      <c r="C39" t="s">
        <v>10</v>
      </c>
      <c r="D39" t="s">
        <v>37</v>
      </c>
      <c r="E39" t="s">
        <v>23</v>
      </c>
      <c r="F39" s="2">
        <v>4683</v>
      </c>
      <c r="G39" s="3">
        <v>30</v>
      </c>
      <c r="J39" t="s">
        <v>27</v>
      </c>
      <c r="K39" s="9">
        <v>16.73</v>
      </c>
    </row>
    <row r="40" spans="3:11" x14ac:dyDescent="0.2">
      <c r="C40" t="s">
        <v>41</v>
      </c>
      <c r="D40" t="s">
        <v>37</v>
      </c>
      <c r="E40" t="s">
        <v>24</v>
      </c>
      <c r="F40" s="2">
        <v>6398</v>
      </c>
      <c r="G40" s="3">
        <v>102</v>
      </c>
      <c r="J40" t="s">
        <v>28</v>
      </c>
      <c r="K40" s="9">
        <v>10.38</v>
      </c>
    </row>
    <row r="41" spans="3:11" x14ac:dyDescent="0.2">
      <c r="C41" t="s">
        <v>2</v>
      </c>
      <c r="D41" t="s">
        <v>35</v>
      </c>
      <c r="E41" t="s">
        <v>19</v>
      </c>
      <c r="F41" s="2">
        <v>553</v>
      </c>
      <c r="G41" s="3">
        <v>15</v>
      </c>
      <c r="J41" t="s">
        <v>29</v>
      </c>
      <c r="K41" s="9">
        <v>7.16</v>
      </c>
    </row>
    <row r="42" spans="3:11" x14ac:dyDescent="0.2">
      <c r="C42" t="s">
        <v>8</v>
      </c>
      <c r="D42" t="s">
        <v>39</v>
      </c>
      <c r="E42" t="s">
        <v>30</v>
      </c>
      <c r="F42" s="2">
        <v>7021</v>
      </c>
      <c r="G42" s="3">
        <v>183</v>
      </c>
      <c r="J42" t="s">
        <v>30</v>
      </c>
      <c r="K42" s="9">
        <v>14.49</v>
      </c>
    </row>
    <row r="43" spans="3:11" x14ac:dyDescent="0.2">
      <c r="C43" t="s">
        <v>40</v>
      </c>
      <c r="D43" t="s">
        <v>39</v>
      </c>
      <c r="E43" t="s">
        <v>22</v>
      </c>
      <c r="F43" s="2">
        <v>5817</v>
      </c>
      <c r="G43" s="3">
        <v>12</v>
      </c>
      <c r="J43" t="s">
        <v>31</v>
      </c>
      <c r="K43" s="9">
        <v>5.79</v>
      </c>
    </row>
    <row r="44" spans="3:11" x14ac:dyDescent="0.2">
      <c r="C44" t="s">
        <v>41</v>
      </c>
      <c r="D44" t="s">
        <v>39</v>
      </c>
      <c r="E44" t="s">
        <v>14</v>
      </c>
      <c r="F44" s="2">
        <v>3976</v>
      </c>
      <c r="G44" s="3">
        <v>72</v>
      </c>
      <c r="J44" t="s">
        <v>32</v>
      </c>
      <c r="K44" s="9">
        <v>8.65</v>
      </c>
    </row>
    <row r="45" spans="3:11" x14ac:dyDescent="0.2">
      <c r="C45" t="s">
        <v>6</v>
      </c>
      <c r="D45" t="s">
        <v>38</v>
      </c>
      <c r="E45" t="s">
        <v>27</v>
      </c>
      <c r="F45" s="2">
        <v>1134</v>
      </c>
      <c r="G45" s="3">
        <v>282</v>
      </c>
      <c r="J45" t="s">
        <v>33</v>
      </c>
      <c r="K45" s="9">
        <v>12.37</v>
      </c>
    </row>
    <row r="46" spans="3:11" x14ac:dyDescent="0.2">
      <c r="C46" t="s">
        <v>2</v>
      </c>
      <c r="D46" t="s">
        <v>39</v>
      </c>
      <c r="E46" t="s">
        <v>28</v>
      </c>
      <c r="F46" s="2">
        <v>6027</v>
      </c>
      <c r="G46" s="3">
        <v>144</v>
      </c>
    </row>
    <row r="47" spans="3:11" x14ac:dyDescent="0.2">
      <c r="C47" t="s">
        <v>6</v>
      </c>
      <c r="D47" t="s">
        <v>37</v>
      </c>
      <c r="E47" t="s">
        <v>16</v>
      </c>
      <c r="F47" s="2">
        <v>1904</v>
      </c>
      <c r="G47" s="3">
        <v>405</v>
      </c>
    </row>
    <row r="48" spans="3:11" x14ac:dyDescent="0.2">
      <c r="C48" t="s">
        <v>7</v>
      </c>
      <c r="D48" t="s">
        <v>34</v>
      </c>
      <c r="E48" t="s">
        <v>32</v>
      </c>
      <c r="F48" s="2">
        <v>3262</v>
      </c>
      <c r="G48" s="3">
        <v>75</v>
      </c>
    </row>
    <row r="49" spans="3:7" x14ac:dyDescent="0.2">
      <c r="C49" t="s">
        <v>40</v>
      </c>
      <c r="D49" t="s">
        <v>34</v>
      </c>
      <c r="E49" t="s">
        <v>27</v>
      </c>
      <c r="F49" s="2">
        <v>2289</v>
      </c>
      <c r="G49" s="3">
        <v>135</v>
      </c>
    </row>
    <row r="50" spans="3:7" x14ac:dyDescent="0.2">
      <c r="C50" t="s">
        <v>5</v>
      </c>
      <c r="D50" t="s">
        <v>34</v>
      </c>
      <c r="E50" t="s">
        <v>27</v>
      </c>
      <c r="F50" s="2">
        <v>6986</v>
      </c>
      <c r="G50" s="3">
        <v>21</v>
      </c>
    </row>
    <row r="51" spans="3:7" x14ac:dyDescent="0.2">
      <c r="C51" t="s">
        <v>2</v>
      </c>
      <c r="D51" t="s">
        <v>38</v>
      </c>
      <c r="E51" t="s">
        <v>23</v>
      </c>
      <c r="F51" s="2">
        <v>4417</v>
      </c>
      <c r="G51" s="3">
        <v>153</v>
      </c>
    </row>
    <row r="52" spans="3:7" x14ac:dyDescent="0.2">
      <c r="C52" t="s">
        <v>6</v>
      </c>
      <c r="D52" t="s">
        <v>34</v>
      </c>
      <c r="E52" t="s">
        <v>15</v>
      </c>
      <c r="F52" s="2">
        <v>1442</v>
      </c>
      <c r="G52" s="3">
        <v>15</v>
      </c>
    </row>
    <row r="53" spans="3:7" x14ac:dyDescent="0.2">
      <c r="C53" t="s">
        <v>3</v>
      </c>
      <c r="D53" t="s">
        <v>35</v>
      </c>
      <c r="E53" t="s">
        <v>14</v>
      </c>
      <c r="F53" s="2">
        <v>2415</v>
      </c>
      <c r="G53" s="3">
        <v>255</v>
      </c>
    </row>
    <row r="54" spans="3:7" x14ac:dyDescent="0.2">
      <c r="C54" t="s">
        <v>2</v>
      </c>
      <c r="D54" t="s">
        <v>37</v>
      </c>
      <c r="E54" t="s">
        <v>19</v>
      </c>
      <c r="F54" s="2">
        <v>238</v>
      </c>
      <c r="G54" s="3">
        <v>18</v>
      </c>
    </row>
    <row r="55" spans="3:7" x14ac:dyDescent="0.2">
      <c r="C55" t="s">
        <v>6</v>
      </c>
      <c r="D55" t="s">
        <v>37</v>
      </c>
      <c r="E55" t="s">
        <v>23</v>
      </c>
      <c r="F55" s="2">
        <v>4949</v>
      </c>
      <c r="G55" s="3">
        <v>189</v>
      </c>
    </row>
    <row r="56" spans="3:7" x14ac:dyDescent="0.2">
      <c r="C56" t="s">
        <v>5</v>
      </c>
      <c r="D56" t="s">
        <v>38</v>
      </c>
      <c r="E56" t="s">
        <v>32</v>
      </c>
      <c r="F56" s="2">
        <v>5075</v>
      </c>
      <c r="G56" s="3">
        <v>21</v>
      </c>
    </row>
    <row r="57" spans="3:7" x14ac:dyDescent="0.2">
      <c r="C57" t="s">
        <v>3</v>
      </c>
      <c r="D57" t="s">
        <v>36</v>
      </c>
      <c r="E57" t="s">
        <v>16</v>
      </c>
      <c r="F57" s="2">
        <v>9198</v>
      </c>
      <c r="G57" s="3">
        <v>36</v>
      </c>
    </row>
    <row r="58" spans="3:7" x14ac:dyDescent="0.2">
      <c r="C58" t="s">
        <v>6</v>
      </c>
      <c r="D58" t="s">
        <v>34</v>
      </c>
      <c r="E58" t="s">
        <v>29</v>
      </c>
      <c r="F58" s="2">
        <v>3339</v>
      </c>
      <c r="G58" s="3">
        <v>75</v>
      </c>
    </row>
    <row r="59" spans="3:7" x14ac:dyDescent="0.2">
      <c r="C59" t="s">
        <v>40</v>
      </c>
      <c r="D59" t="s">
        <v>34</v>
      </c>
      <c r="E59" t="s">
        <v>17</v>
      </c>
      <c r="F59" s="2">
        <v>5019</v>
      </c>
      <c r="G59" s="3">
        <v>156</v>
      </c>
    </row>
    <row r="60" spans="3:7" x14ac:dyDescent="0.2">
      <c r="C60" t="s">
        <v>5</v>
      </c>
      <c r="D60" t="s">
        <v>36</v>
      </c>
      <c r="E60" t="s">
        <v>16</v>
      </c>
      <c r="F60" s="2">
        <v>16184</v>
      </c>
      <c r="G60" s="3">
        <v>39</v>
      </c>
    </row>
    <row r="61" spans="3:7" x14ac:dyDescent="0.2">
      <c r="C61" t="s">
        <v>6</v>
      </c>
      <c r="D61" t="s">
        <v>36</v>
      </c>
      <c r="E61" t="s">
        <v>21</v>
      </c>
      <c r="F61" s="2">
        <v>497</v>
      </c>
      <c r="G61" s="3">
        <v>63</v>
      </c>
    </row>
    <row r="62" spans="3:7" x14ac:dyDescent="0.2">
      <c r="C62" t="s">
        <v>2</v>
      </c>
      <c r="D62" t="s">
        <v>36</v>
      </c>
      <c r="E62" t="s">
        <v>29</v>
      </c>
      <c r="F62" s="2">
        <v>8211</v>
      </c>
      <c r="G62" s="3">
        <v>75</v>
      </c>
    </row>
    <row r="63" spans="3:7" x14ac:dyDescent="0.2">
      <c r="C63" t="s">
        <v>2</v>
      </c>
      <c r="D63" t="s">
        <v>38</v>
      </c>
      <c r="E63" t="s">
        <v>28</v>
      </c>
      <c r="F63" s="2">
        <v>6580</v>
      </c>
      <c r="G63" s="3">
        <v>183</v>
      </c>
    </row>
    <row r="64" spans="3:7" x14ac:dyDescent="0.2">
      <c r="C64" t="s">
        <v>41</v>
      </c>
      <c r="D64" t="s">
        <v>35</v>
      </c>
      <c r="E64" t="s">
        <v>13</v>
      </c>
      <c r="F64" s="2">
        <v>4760</v>
      </c>
      <c r="G64" s="3">
        <v>69</v>
      </c>
    </row>
    <row r="65" spans="3:7" x14ac:dyDescent="0.2">
      <c r="C65" t="s">
        <v>40</v>
      </c>
      <c r="D65" t="s">
        <v>36</v>
      </c>
      <c r="E65" t="s">
        <v>25</v>
      </c>
      <c r="F65" s="2">
        <v>5439</v>
      </c>
      <c r="G65" s="3">
        <v>30</v>
      </c>
    </row>
    <row r="66" spans="3:7" x14ac:dyDescent="0.2">
      <c r="C66" t="s">
        <v>41</v>
      </c>
      <c r="D66" t="s">
        <v>34</v>
      </c>
      <c r="E66" t="s">
        <v>17</v>
      </c>
      <c r="F66" s="2">
        <v>1463</v>
      </c>
      <c r="G66" s="3">
        <v>39</v>
      </c>
    </row>
    <row r="67" spans="3:7" x14ac:dyDescent="0.2">
      <c r="C67" t="s">
        <v>3</v>
      </c>
      <c r="D67" t="s">
        <v>34</v>
      </c>
      <c r="E67" t="s">
        <v>32</v>
      </c>
      <c r="F67" s="2">
        <v>7777</v>
      </c>
      <c r="G67" s="3">
        <v>504</v>
      </c>
    </row>
    <row r="68" spans="3:7" x14ac:dyDescent="0.2">
      <c r="C68" t="s">
        <v>9</v>
      </c>
      <c r="D68" t="s">
        <v>37</v>
      </c>
      <c r="E68" t="s">
        <v>29</v>
      </c>
      <c r="F68" s="2">
        <v>1085</v>
      </c>
      <c r="G68" s="3">
        <v>273</v>
      </c>
    </row>
    <row r="69" spans="3:7" x14ac:dyDescent="0.2">
      <c r="C69" t="s">
        <v>5</v>
      </c>
      <c r="D69" t="s">
        <v>37</v>
      </c>
      <c r="E69" t="s">
        <v>31</v>
      </c>
      <c r="F69" s="2">
        <v>182</v>
      </c>
      <c r="G69" s="3">
        <v>48</v>
      </c>
    </row>
    <row r="70" spans="3:7" x14ac:dyDescent="0.2">
      <c r="C70" t="s">
        <v>6</v>
      </c>
      <c r="D70" t="s">
        <v>34</v>
      </c>
      <c r="E70" t="s">
        <v>27</v>
      </c>
      <c r="F70" s="2">
        <v>4242</v>
      </c>
      <c r="G70" s="3">
        <v>207</v>
      </c>
    </row>
    <row r="71" spans="3:7" x14ac:dyDescent="0.2">
      <c r="C71" t="s">
        <v>6</v>
      </c>
      <c r="D71" t="s">
        <v>36</v>
      </c>
      <c r="E71" t="s">
        <v>32</v>
      </c>
      <c r="F71" s="2">
        <v>6118</v>
      </c>
      <c r="G71" s="3">
        <v>9</v>
      </c>
    </row>
    <row r="72" spans="3:7" x14ac:dyDescent="0.2">
      <c r="C72" t="s">
        <v>10</v>
      </c>
      <c r="D72" t="s">
        <v>36</v>
      </c>
      <c r="E72" t="s">
        <v>23</v>
      </c>
      <c r="F72" s="2">
        <v>2317</v>
      </c>
      <c r="G72" s="3">
        <v>261</v>
      </c>
    </row>
    <row r="73" spans="3:7" x14ac:dyDescent="0.2">
      <c r="C73" t="s">
        <v>6</v>
      </c>
      <c r="D73" t="s">
        <v>38</v>
      </c>
      <c r="E73" t="s">
        <v>16</v>
      </c>
      <c r="F73" s="2">
        <v>938</v>
      </c>
      <c r="G73" s="3">
        <v>6</v>
      </c>
    </row>
    <row r="74" spans="3:7" x14ac:dyDescent="0.2">
      <c r="C74" t="s">
        <v>8</v>
      </c>
      <c r="D74" t="s">
        <v>37</v>
      </c>
      <c r="E74" t="s">
        <v>15</v>
      </c>
      <c r="F74" s="2">
        <v>9709</v>
      </c>
      <c r="G74" s="3">
        <v>30</v>
      </c>
    </row>
    <row r="75" spans="3:7" x14ac:dyDescent="0.2">
      <c r="C75" t="s">
        <v>7</v>
      </c>
      <c r="D75" t="s">
        <v>34</v>
      </c>
      <c r="E75" t="s">
        <v>20</v>
      </c>
      <c r="F75" s="2">
        <v>2205</v>
      </c>
      <c r="G75" s="3">
        <v>138</v>
      </c>
    </row>
    <row r="76" spans="3:7" x14ac:dyDescent="0.2">
      <c r="C76" t="s">
        <v>7</v>
      </c>
      <c r="D76" t="s">
        <v>37</v>
      </c>
      <c r="E76" t="s">
        <v>17</v>
      </c>
      <c r="F76" s="2">
        <v>4487</v>
      </c>
      <c r="G76" s="3">
        <v>111</v>
      </c>
    </row>
    <row r="77" spans="3:7" x14ac:dyDescent="0.2">
      <c r="C77" t="s">
        <v>5</v>
      </c>
      <c r="D77" t="s">
        <v>35</v>
      </c>
      <c r="E77" t="s">
        <v>18</v>
      </c>
      <c r="F77" s="2">
        <v>2415</v>
      </c>
      <c r="G77" s="3">
        <v>15</v>
      </c>
    </row>
    <row r="78" spans="3:7" x14ac:dyDescent="0.2">
      <c r="C78" t="s">
        <v>40</v>
      </c>
      <c r="D78" t="s">
        <v>34</v>
      </c>
      <c r="E78" t="s">
        <v>19</v>
      </c>
      <c r="F78" s="2">
        <v>4018</v>
      </c>
      <c r="G78" s="3">
        <v>162</v>
      </c>
    </row>
    <row r="79" spans="3:7" x14ac:dyDescent="0.2">
      <c r="C79" t="s">
        <v>5</v>
      </c>
      <c r="D79" t="s">
        <v>34</v>
      </c>
      <c r="E79" t="s">
        <v>19</v>
      </c>
      <c r="F79" s="2">
        <v>861</v>
      </c>
      <c r="G79" s="3">
        <v>195</v>
      </c>
    </row>
    <row r="80" spans="3:7" x14ac:dyDescent="0.2">
      <c r="C80" t="s">
        <v>10</v>
      </c>
      <c r="D80" t="s">
        <v>38</v>
      </c>
      <c r="E80" t="s">
        <v>14</v>
      </c>
      <c r="F80" s="2">
        <v>5586</v>
      </c>
      <c r="G80" s="3">
        <v>525</v>
      </c>
    </row>
    <row r="81" spans="3:7" x14ac:dyDescent="0.2">
      <c r="C81" t="s">
        <v>7</v>
      </c>
      <c r="D81" t="s">
        <v>34</v>
      </c>
      <c r="E81" t="s">
        <v>33</v>
      </c>
      <c r="F81" s="2">
        <v>2226</v>
      </c>
      <c r="G81" s="3">
        <v>48</v>
      </c>
    </row>
    <row r="82" spans="3:7" x14ac:dyDescent="0.2">
      <c r="C82" t="s">
        <v>9</v>
      </c>
      <c r="D82" t="s">
        <v>34</v>
      </c>
      <c r="E82" t="s">
        <v>28</v>
      </c>
      <c r="F82" s="2">
        <v>14329</v>
      </c>
      <c r="G82" s="3">
        <v>150</v>
      </c>
    </row>
    <row r="83" spans="3:7" x14ac:dyDescent="0.2">
      <c r="C83" t="s">
        <v>9</v>
      </c>
      <c r="D83" t="s">
        <v>34</v>
      </c>
      <c r="E83" t="s">
        <v>20</v>
      </c>
      <c r="F83" s="2">
        <v>8463</v>
      </c>
      <c r="G83" s="3">
        <v>492</v>
      </c>
    </row>
    <row r="84" spans="3:7" x14ac:dyDescent="0.2">
      <c r="C84" t="s">
        <v>5</v>
      </c>
      <c r="D84" t="s">
        <v>34</v>
      </c>
      <c r="E84" t="s">
        <v>29</v>
      </c>
      <c r="F84" s="2">
        <v>2891</v>
      </c>
      <c r="G84" s="3">
        <v>102</v>
      </c>
    </row>
    <row r="85" spans="3:7" x14ac:dyDescent="0.2">
      <c r="C85" t="s">
        <v>3</v>
      </c>
      <c r="D85" t="s">
        <v>36</v>
      </c>
      <c r="E85" t="s">
        <v>23</v>
      </c>
      <c r="F85" s="2">
        <v>3773</v>
      </c>
      <c r="G85" s="3">
        <v>165</v>
      </c>
    </row>
    <row r="86" spans="3:7" x14ac:dyDescent="0.2">
      <c r="C86" t="s">
        <v>41</v>
      </c>
      <c r="D86" t="s">
        <v>36</v>
      </c>
      <c r="E86" t="s">
        <v>28</v>
      </c>
      <c r="F86" s="2">
        <v>854</v>
      </c>
      <c r="G86" s="3">
        <v>309</v>
      </c>
    </row>
    <row r="87" spans="3:7" x14ac:dyDescent="0.2">
      <c r="C87" t="s">
        <v>6</v>
      </c>
      <c r="D87" t="s">
        <v>36</v>
      </c>
      <c r="E87" t="s">
        <v>17</v>
      </c>
      <c r="F87" s="2">
        <v>4970</v>
      </c>
      <c r="G87" s="3">
        <v>156</v>
      </c>
    </row>
    <row r="88" spans="3:7" x14ac:dyDescent="0.2">
      <c r="C88" t="s">
        <v>9</v>
      </c>
      <c r="D88" t="s">
        <v>35</v>
      </c>
      <c r="E88" t="s">
        <v>26</v>
      </c>
      <c r="F88" s="2">
        <v>98</v>
      </c>
      <c r="G88" s="3">
        <v>159</v>
      </c>
    </row>
    <row r="89" spans="3:7" x14ac:dyDescent="0.2">
      <c r="C89" t="s">
        <v>5</v>
      </c>
      <c r="D89" t="s">
        <v>35</v>
      </c>
      <c r="E89" t="s">
        <v>15</v>
      </c>
      <c r="F89" s="2">
        <v>13391</v>
      </c>
      <c r="G89" s="3">
        <v>201</v>
      </c>
    </row>
    <row r="90" spans="3:7" x14ac:dyDescent="0.2">
      <c r="C90" t="s">
        <v>8</v>
      </c>
      <c r="D90" t="s">
        <v>39</v>
      </c>
      <c r="E90" t="s">
        <v>31</v>
      </c>
      <c r="F90" s="2">
        <v>8890</v>
      </c>
      <c r="G90" s="3">
        <v>210</v>
      </c>
    </row>
    <row r="91" spans="3:7" x14ac:dyDescent="0.2">
      <c r="C91" t="s">
        <v>2</v>
      </c>
      <c r="D91" t="s">
        <v>38</v>
      </c>
      <c r="E91" t="s">
        <v>13</v>
      </c>
      <c r="F91" s="2">
        <v>56</v>
      </c>
      <c r="G91" s="3">
        <v>51</v>
      </c>
    </row>
    <row r="92" spans="3:7" x14ac:dyDescent="0.2">
      <c r="C92" t="s">
        <v>3</v>
      </c>
      <c r="D92" t="s">
        <v>36</v>
      </c>
      <c r="E92" t="s">
        <v>25</v>
      </c>
      <c r="F92" s="2">
        <v>3339</v>
      </c>
      <c r="G92" s="3">
        <v>39</v>
      </c>
    </row>
    <row r="93" spans="3:7" x14ac:dyDescent="0.2">
      <c r="C93" t="s">
        <v>10</v>
      </c>
      <c r="D93" t="s">
        <v>35</v>
      </c>
      <c r="E93" t="s">
        <v>18</v>
      </c>
      <c r="F93" s="2">
        <v>3808</v>
      </c>
      <c r="G93" s="3">
        <v>279</v>
      </c>
    </row>
    <row r="94" spans="3:7" x14ac:dyDescent="0.2">
      <c r="C94" t="s">
        <v>10</v>
      </c>
      <c r="D94" t="s">
        <v>38</v>
      </c>
      <c r="E94" t="s">
        <v>13</v>
      </c>
      <c r="F94" s="2">
        <v>63</v>
      </c>
      <c r="G94" s="3">
        <v>123</v>
      </c>
    </row>
    <row r="95" spans="3:7" x14ac:dyDescent="0.2">
      <c r="C95" t="s">
        <v>2</v>
      </c>
      <c r="D95" t="s">
        <v>39</v>
      </c>
      <c r="E95" t="s">
        <v>27</v>
      </c>
      <c r="F95" s="2">
        <v>7812</v>
      </c>
      <c r="G95" s="3">
        <v>81</v>
      </c>
    </row>
    <row r="96" spans="3:7" x14ac:dyDescent="0.2">
      <c r="C96" t="s">
        <v>40</v>
      </c>
      <c r="D96" t="s">
        <v>37</v>
      </c>
      <c r="E96" t="s">
        <v>19</v>
      </c>
      <c r="F96" s="2">
        <v>7693</v>
      </c>
      <c r="G96" s="3">
        <v>21</v>
      </c>
    </row>
    <row r="97" spans="3:7" x14ac:dyDescent="0.2">
      <c r="C97" t="s">
        <v>3</v>
      </c>
      <c r="D97" t="s">
        <v>36</v>
      </c>
      <c r="E97" t="s">
        <v>28</v>
      </c>
      <c r="F97" s="2">
        <v>973</v>
      </c>
      <c r="G97" s="3">
        <v>162</v>
      </c>
    </row>
    <row r="98" spans="3:7" x14ac:dyDescent="0.2">
      <c r="C98" t="s">
        <v>10</v>
      </c>
      <c r="D98" t="s">
        <v>35</v>
      </c>
      <c r="E98" t="s">
        <v>21</v>
      </c>
      <c r="F98" s="2">
        <v>567</v>
      </c>
      <c r="G98" s="3">
        <v>228</v>
      </c>
    </row>
    <row r="99" spans="3:7" x14ac:dyDescent="0.2">
      <c r="C99" t="s">
        <v>10</v>
      </c>
      <c r="D99" t="s">
        <v>36</v>
      </c>
      <c r="E99" t="s">
        <v>29</v>
      </c>
      <c r="F99" s="2">
        <v>2471</v>
      </c>
      <c r="G99" s="3">
        <v>342</v>
      </c>
    </row>
    <row r="100" spans="3:7" x14ac:dyDescent="0.2">
      <c r="C100" t="s">
        <v>5</v>
      </c>
      <c r="D100" t="s">
        <v>38</v>
      </c>
      <c r="E100" t="s">
        <v>13</v>
      </c>
      <c r="F100" s="2">
        <v>7189</v>
      </c>
      <c r="G100" s="3">
        <v>54</v>
      </c>
    </row>
    <row r="101" spans="3:7" x14ac:dyDescent="0.2">
      <c r="C101" t="s">
        <v>41</v>
      </c>
      <c r="D101" t="s">
        <v>35</v>
      </c>
      <c r="E101" t="s">
        <v>28</v>
      </c>
      <c r="F101" s="2">
        <v>7455</v>
      </c>
      <c r="G101" s="3">
        <v>216</v>
      </c>
    </row>
    <row r="102" spans="3:7" x14ac:dyDescent="0.2">
      <c r="C102" t="s">
        <v>3</v>
      </c>
      <c r="D102" t="s">
        <v>34</v>
      </c>
      <c r="E102" t="s">
        <v>26</v>
      </c>
      <c r="F102" s="2">
        <v>3108</v>
      </c>
      <c r="G102" s="3">
        <v>54</v>
      </c>
    </row>
    <row r="103" spans="3:7" x14ac:dyDescent="0.2">
      <c r="C103" t="s">
        <v>6</v>
      </c>
      <c r="D103" t="s">
        <v>38</v>
      </c>
      <c r="E103" t="s">
        <v>25</v>
      </c>
      <c r="F103" s="2">
        <v>469</v>
      </c>
      <c r="G103" s="3">
        <v>75</v>
      </c>
    </row>
    <row r="104" spans="3:7" x14ac:dyDescent="0.2">
      <c r="C104" t="s">
        <v>9</v>
      </c>
      <c r="D104" t="s">
        <v>37</v>
      </c>
      <c r="E104" t="s">
        <v>23</v>
      </c>
      <c r="F104" s="2">
        <v>2737</v>
      </c>
      <c r="G104" s="3">
        <v>93</v>
      </c>
    </row>
    <row r="105" spans="3:7" x14ac:dyDescent="0.2">
      <c r="C105" t="s">
        <v>9</v>
      </c>
      <c r="D105" t="s">
        <v>37</v>
      </c>
      <c r="E105" t="s">
        <v>25</v>
      </c>
      <c r="F105" s="2">
        <v>4305</v>
      </c>
      <c r="G105" s="3">
        <v>156</v>
      </c>
    </row>
    <row r="106" spans="3:7" x14ac:dyDescent="0.2">
      <c r="C106" t="s">
        <v>9</v>
      </c>
      <c r="D106" t="s">
        <v>38</v>
      </c>
      <c r="E106" t="s">
        <v>17</v>
      </c>
      <c r="F106" s="2">
        <v>2408</v>
      </c>
      <c r="G106" s="3">
        <v>9</v>
      </c>
    </row>
    <row r="107" spans="3:7" x14ac:dyDescent="0.2">
      <c r="C107" t="s">
        <v>3</v>
      </c>
      <c r="D107" t="s">
        <v>36</v>
      </c>
      <c r="E107" t="s">
        <v>19</v>
      </c>
      <c r="F107" s="2">
        <v>1281</v>
      </c>
      <c r="G107" s="3">
        <v>18</v>
      </c>
    </row>
    <row r="108" spans="3:7" x14ac:dyDescent="0.2">
      <c r="C108" t="s">
        <v>40</v>
      </c>
      <c r="D108" t="s">
        <v>35</v>
      </c>
      <c r="E108" t="s">
        <v>32</v>
      </c>
      <c r="F108" s="2">
        <v>12348</v>
      </c>
      <c r="G108" s="3">
        <v>234</v>
      </c>
    </row>
    <row r="109" spans="3:7" x14ac:dyDescent="0.2">
      <c r="C109" t="s">
        <v>3</v>
      </c>
      <c r="D109" t="s">
        <v>34</v>
      </c>
      <c r="E109" t="s">
        <v>28</v>
      </c>
      <c r="F109" s="2">
        <v>3689</v>
      </c>
      <c r="G109" s="3">
        <v>312</v>
      </c>
    </row>
    <row r="110" spans="3:7" x14ac:dyDescent="0.2">
      <c r="C110" t="s">
        <v>7</v>
      </c>
      <c r="D110" t="s">
        <v>36</v>
      </c>
      <c r="E110" t="s">
        <v>19</v>
      </c>
      <c r="F110" s="2">
        <v>2870</v>
      </c>
      <c r="G110" s="3">
        <v>300</v>
      </c>
    </row>
    <row r="111" spans="3:7" x14ac:dyDescent="0.2">
      <c r="C111" t="s">
        <v>2</v>
      </c>
      <c r="D111" t="s">
        <v>36</v>
      </c>
      <c r="E111" t="s">
        <v>27</v>
      </c>
      <c r="F111" s="2">
        <v>798</v>
      </c>
      <c r="G111" s="3">
        <v>519</v>
      </c>
    </row>
    <row r="112" spans="3:7" x14ac:dyDescent="0.2">
      <c r="C112" t="s">
        <v>41</v>
      </c>
      <c r="D112" t="s">
        <v>37</v>
      </c>
      <c r="E112" t="s">
        <v>21</v>
      </c>
      <c r="F112" s="2">
        <v>2933</v>
      </c>
      <c r="G112" s="3">
        <v>9</v>
      </c>
    </row>
    <row r="113" spans="3:7" x14ac:dyDescent="0.2">
      <c r="C113" t="s">
        <v>5</v>
      </c>
      <c r="D113" t="s">
        <v>35</v>
      </c>
      <c r="E113" t="s">
        <v>4</v>
      </c>
      <c r="F113" s="2">
        <v>2744</v>
      </c>
      <c r="G113" s="3">
        <v>9</v>
      </c>
    </row>
    <row r="114" spans="3:7" x14ac:dyDescent="0.2">
      <c r="C114" t="s">
        <v>40</v>
      </c>
      <c r="D114" t="s">
        <v>36</v>
      </c>
      <c r="E114" t="s">
        <v>33</v>
      </c>
      <c r="F114" s="2">
        <v>9772</v>
      </c>
      <c r="G114" s="3">
        <v>90</v>
      </c>
    </row>
    <row r="115" spans="3:7" x14ac:dyDescent="0.2">
      <c r="C115" t="s">
        <v>7</v>
      </c>
      <c r="D115" t="s">
        <v>34</v>
      </c>
      <c r="E115" t="s">
        <v>25</v>
      </c>
      <c r="F115" s="2">
        <v>1568</v>
      </c>
      <c r="G115" s="3">
        <v>96</v>
      </c>
    </row>
    <row r="116" spans="3:7" x14ac:dyDescent="0.2">
      <c r="C116" t="s">
        <v>2</v>
      </c>
      <c r="D116" t="s">
        <v>36</v>
      </c>
      <c r="E116" t="s">
        <v>16</v>
      </c>
      <c r="F116" s="2">
        <v>11417</v>
      </c>
      <c r="G116" s="3">
        <v>21</v>
      </c>
    </row>
    <row r="117" spans="3:7" x14ac:dyDescent="0.2">
      <c r="C117" t="s">
        <v>40</v>
      </c>
      <c r="D117" t="s">
        <v>34</v>
      </c>
      <c r="E117" t="s">
        <v>26</v>
      </c>
      <c r="F117" s="2">
        <v>6748</v>
      </c>
      <c r="G117" s="3">
        <v>48</v>
      </c>
    </row>
    <row r="118" spans="3:7" x14ac:dyDescent="0.2">
      <c r="C118" t="s">
        <v>10</v>
      </c>
      <c r="D118" t="s">
        <v>36</v>
      </c>
      <c r="E118" t="s">
        <v>27</v>
      </c>
      <c r="F118" s="2">
        <v>1407</v>
      </c>
      <c r="G118" s="3">
        <v>72</v>
      </c>
    </row>
    <row r="119" spans="3:7" x14ac:dyDescent="0.2">
      <c r="C119" t="s">
        <v>8</v>
      </c>
      <c r="D119" t="s">
        <v>35</v>
      </c>
      <c r="E119" t="s">
        <v>29</v>
      </c>
      <c r="F119" s="2">
        <v>2023</v>
      </c>
      <c r="G119" s="3">
        <v>168</v>
      </c>
    </row>
    <row r="120" spans="3:7" x14ac:dyDescent="0.2">
      <c r="C120" t="s">
        <v>5</v>
      </c>
      <c r="D120" t="s">
        <v>39</v>
      </c>
      <c r="E120" t="s">
        <v>26</v>
      </c>
      <c r="F120" s="2">
        <v>5236</v>
      </c>
      <c r="G120" s="3">
        <v>51</v>
      </c>
    </row>
    <row r="121" spans="3:7" x14ac:dyDescent="0.2">
      <c r="C121" t="s">
        <v>41</v>
      </c>
      <c r="D121" t="s">
        <v>36</v>
      </c>
      <c r="E121" t="s">
        <v>19</v>
      </c>
      <c r="F121" s="2">
        <v>1925</v>
      </c>
      <c r="G121" s="3">
        <v>192</v>
      </c>
    </row>
    <row r="122" spans="3:7" x14ac:dyDescent="0.2">
      <c r="C122" t="s">
        <v>7</v>
      </c>
      <c r="D122" t="s">
        <v>37</v>
      </c>
      <c r="E122" t="s">
        <v>14</v>
      </c>
      <c r="F122" s="2">
        <v>6608</v>
      </c>
      <c r="G122" s="3">
        <v>225</v>
      </c>
    </row>
    <row r="123" spans="3:7" x14ac:dyDescent="0.2">
      <c r="C123" t="s">
        <v>6</v>
      </c>
      <c r="D123" t="s">
        <v>34</v>
      </c>
      <c r="E123" t="s">
        <v>26</v>
      </c>
      <c r="F123" s="2">
        <v>8008</v>
      </c>
      <c r="G123" s="3">
        <v>456</v>
      </c>
    </row>
    <row r="124" spans="3:7" x14ac:dyDescent="0.2">
      <c r="C124" t="s">
        <v>10</v>
      </c>
      <c r="D124" t="s">
        <v>34</v>
      </c>
      <c r="E124" t="s">
        <v>25</v>
      </c>
      <c r="F124" s="2">
        <v>1428</v>
      </c>
      <c r="G124" s="3">
        <v>93</v>
      </c>
    </row>
    <row r="125" spans="3:7" x14ac:dyDescent="0.2">
      <c r="C125" t="s">
        <v>6</v>
      </c>
      <c r="D125" t="s">
        <v>34</v>
      </c>
      <c r="E125" t="s">
        <v>4</v>
      </c>
      <c r="F125" s="2">
        <v>525</v>
      </c>
      <c r="G125" s="3">
        <v>48</v>
      </c>
    </row>
    <row r="126" spans="3:7" x14ac:dyDescent="0.2">
      <c r="C126" t="s">
        <v>6</v>
      </c>
      <c r="D126" t="s">
        <v>37</v>
      </c>
      <c r="E126" t="s">
        <v>18</v>
      </c>
      <c r="F126" s="2">
        <v>1505</v>
      </c>
      <c r="G126" s="3">
        <v>102</v>
      </c>
    </row>
    <row r="127" spans="3:7" x14ac:dyDescent="0.2">
      <c r="C127" t="s">
        <v>7</v>
      </c>
      <c r="D127" t="s">
        <v>35</v>
      </c>
      <c r="E127" t="s">
        <v>30</v>
      </c>
      <c r="F127" s="2">
        <v>6755</v>
      </c>
      <c r="G127" s="3">
        <v>252</v>
      </c>
    </row>
    <row r="128" spans="3:7" x14ac:dyDescent="0.2">
      <c r="C128" t="s">
        <v>2</v>
      </c>
      <c r="D128" t="s">
        <v>37</v>
      </c>
      <c r="E128" t="s">
        <v>18</v>
      </c>
      <c r="F128" s="2">
        <v>11571</v>
      </c>
      <c r="G128" s="3">
        <v>138</v>
      </c>
    </row>
    <row r="129" spans="3:7" x14ac:dyDescent="0.2">
      <c r="C129" t="s">
        <v>40</v>
      </c>
      <c r="D129" t="s">
        <v>38</v>
      </c>
      <c r="E129" t="s">
        <v>25</v>
      </c>
      <c r="F129" s="2">
        <v>2541</v>
      </c>
      <c r="G129" s="3">
        <v>90</v>
      </c>
    </row>
    <row r="130" spans="3:7" x14ac:dyDescent="0.2">
      <c r="C130" t="s">
        <v>41</v>
      </c>
      <c r="D130" t="s">
        <v>37</v>
      </c>
      <c r="E130" t="s">
        <v>30</v>
      </c>
      <c r="F130" s="2">
        <v>1526</v>
      </c>
      <c r="G130" s="3">
        <v>240</v>
      </c>
    </row>
    <row r="131" spans="3:7" x14ac:dyDescent="0.2">
      <c r="C131" t="s">
        <v>40</v>
      </c>
      <c r="D131" t="s">
        <v>38</v>
      </c>
      <c r="E131" t="s">
        <v>4</v>
      </c>
      <c r="F131" s="2">
        <v>6125</v>
      </c>
      <c r="G131" s="3">
        <v>102</v>
      </c>
    </row>
    <row r="132" spans="3:7" x14ac:dyDescent="0.2">
      <c r="C132" t="s">
        <v>41</v>
      </c>
      <c r="D132" t="s">
        <v>35</v>
      </c>
      <c r="E132" t="s">
        <v>27</v>
      </c>
      <c r="F132" s="2">
        <v>847</v>
      </c>
      <c r="G132" s="3">
        <v>129</v>
      </c>
    </row>
    <row r="133" spans="3:7" x14ac:dyDescent="0.2">
      <c r="C133" t="s">
        <v>8</v>
      </c>
      <c r="D133" t="s">
        <v>35</v>
      </c>
      <c r="E133" t="s">
        <v>27</v>
      </c>
      <c r="F133" s="2">
        <v>4753</v>
      </c>
      <c r="G133" s="3">
        <v>300</v>
      </c>
    </row>
    <row r="134" spans="3:7" x14ac:dyDescent="0.2">
      <c r="C134" t="s">
        <v>6</v>
      </c>
      <c r="D134" t="s">
        <v>38</v>
      </c>
      <c r="E134" t="s">
        <v>33</v>
      </c>
      <c r="F134" s="2">
        <v>959</v>
      </c>
      <c r="G134" s="3">
        <v>135</v>
      </c>
    </row>
    <row r="135" spans="3:7" x14ac:dyDescent="0.2">
      <c r="C135" t="s">
        <v>7</v>
      </c>
      <c r="D135" t="s">
        <v>35</v>
      </c>
      <c r="E135" t="s">
        <v>24</v>
      </c>
      <c r="F135" s="2">
        <v>2793</v>
      </c>
      <c r="G135" s="3">
        <v>114</v>
      </c>
    </row>
    <row r="136" spans="3:7" x14ac:dyDescent="0.2">
      <c r="C136" t="s">
        <v>7</v>
      </c>
      <c r="D136" t="s">
        <v>35</v>
      </c>
      <c r="E136" t="s">
        <v>14</v>
      </c>
      <c r="F136" s="2">
        <v>4606</v>
      </c>
      <c r="G136" s="3">
        <v>63</v>
      </c>
    </row>
    <row r="137" spans="3:7" x14ac:dyDescent="0.2">
      <c r="C137" t="s">
        <v>7</v>
      </c>
      <c r="D137" t="s">
        <v>36</v>
      </c>
      <c r="E137" t="s">
        <v>29</v>
      </c>
      <c r="F137" s="2">
        <v>5551</v>
      </c>
      <c r="G137" s="3">
        <v>252</v>
      </c>
    </row>
    <row r="138" spans="3:7" x14ac:dyDescent="0.2">
      <c r="C138" t="s">
        <v>10</v>
      </c>
      <c r="D138" t="s">
        <v>36</v>
      </c>
      <c r="E138" t="s">
        <v>32</v>
      </c>
      <c r="F138" s="2">
        <v>6657</v>
      </c>
      <c r="G138" s="3">
        <v>303</v>
      </c>
    </row>
    <row r="139" spans="3:7" x14ac:dyDescent="0.2">
      <c r="C139" t="s">
        <v>7</v>
      </c>
      <c r="D139" t="s">
        <v>39</v>
      </c>
      <c r="E139" t="s">
        <v>17</v>
      </c>
      <c r="F139" s="2">
        <v>4438</v>
      </c>
      <c r="G139" s="3">
        <v>246</v>
      </c>
    </row>
    <row r="140" spans="3:7" x14ac:dyDescent="0.2">
      <c r="C140" t="s">
        <v>8</v>
      </c>
      <c r="D140" t="s">
        <v>38</v>
      </c>
      <c r="E140" t="s">
        <v>22</v>
      </c>
      <c r="F140" s="2">
        <v>168</v>
      </c>
      <c r="G140" s="3">
        <v>84</v>
      </c>
    </row>
    <row r="141" spans="3:7" x14ac:dyDescent="0.2">
      <c r="C141" t="s">
        <v>7</v>
      </c>
      <c r="D141" t="s">
        <v>34</v>
      </c>
      <c r="E141" t="s">
        <v>17</v>
      </c>
      <c r="F141" s="2">
        <v>7777</v>
      </c>
      <c r="G141" s="3">
        <v>39</v>
      </c>
    </row>
    <row r="142" spans="3:7" x14ac:dyDescent="0.2">
      <c r="C142" t="s">
        <v>5</v>
      </c>
      <c r="D142" t="s">
        <v>36</v>
      </c>
      <c r="E142" t="s">
        <v>17</v>
      </c>
      <c r="F142" s="2">
        <v>3339</v>
      </c>
      <c r="G142" s="3">
        <v>348</v>
      </c>
    </row>
    <row r="143" spans="3:7" x14ac:dyDescent="0.2">
      <c r="C143" t="s">
        <v>7</v>
      </c>
      <c r="D143" t="s">
        <v>37</v>
      </c>
      <c r="E143" t="s">
        <v>33</v>
      </c>
      <c r="F143" s="2">
        <v>6391</v>
      </c>
      <c r="G143" s="3">
        <v>48</v>
      </c>
    </row>
    <row r="144" spans="3:7" x14ac:dyDescent="0.2">
      <c r="C144" t="s">
        <v>5</v>
      </c>
      <c r="D144" t="s">
        <v>37</v>
      </c>
      <c r="E144" t="s">
        <v>22</v>
      </c>
      <c r="F144" s="2">
        <v>518</v>
      </c>
      <c r="G144" s="3">
        <v>75</v>
      </c>
    </row>
    <row r="145" spans="3:7" x14ac:dyDescent="0.2">
      <c r="C145" t="s">
        <v>7</v>
      </c>
      <c r="D145" t="s">
        <v>38</v>
      </c>
      <c r="E145" t="s">
        <v>28</v>
      </c>
      <c r="F145" s="2">
        <v>5677</v>
      </c>
      <c r="G145" s="3">
        <v>258</v>
      </c>
    </row>
    <row r="146" spans="3:7" x14ac:dyDescent="0.2">
      <c r="C146" t="s">
        <v>6</v>
      </c>
      <c r="D146" t="s">
        <v>39</v>
      </c>
      <c r="E146" t="s">
        <v>17</v>
      </c>
      <c r="F146" s="2">
        <v>6048</v>
      </c>
      <c r="G146" s="3">
        <v>27</v>
      </c>
    </row>
    <row r="147" spans="3:7" x14ac:dyDescent="0.2">
      <c r="C147" t="s">
        <v>8</v>
      </c>
      <c r="D147" t="s">
        <v>38</v>
      </c>
      <c r="E147" t="s">
        <v>32</v>
      </c>
      <c r="F147" s="2">
        <v>3752</v>
      </c>
      <c r="G147" s="3">
        <v>213</v>
      </c>
    </row>
    <row r="148" spans="3:7" x14ac:dyDescent="0.2">
      <c r="C148" t="s">
        <v>5</v>
      </c>
      <c r="D148" t="s">
        <v>35</v>
      </c>
      <c r="E148" t="s">
        <v>29</v>
      </c>
      <c r="F148" s="2">
        <v>4480</v>
      </c>
      <c r="G148" s="3">
        <v>357</v>
      </c>
    </row>
    <row r="149" spans="3:7" x14ac:dyDescent="0.2">
      <c r="C149" t="s">
        <v>9</v>
      </c>
      <c r="D149" t="s">
        <v>37</v>
      </c>
      <c r="E149" t="s">
        <v>4</v>
      </c>
      <c r="F149" s="2">
        <v>259</v>
      </c>
      <c r="G149" s="3">
        <v>207</v>
      </c>
    </row>
    <row r="150" spans="3:7" x14ac:dyDescent="0.2">
      <c r="C150" t="s">
        <v>8</v>
      </c>
      <c r="D150" t="s">
        <v>37</v>
      </c>
      <c r="E150" t="s">
        <v>30</v>
      </c>
      <c r="F150" s="2">
        <v>42</v>
      </c>
      <c r="G150" s="3">
        <v>150</v>
      </c>
    </row>
    <row r="151" spans="3:7" x14ac:dyDescent="0.2">
      <c r="C151" t="s">
        <v>41</v>
      </c>
      <c r="D151" t="s">
        <v>36</v>
      </c>
      <c r="E151" t="s">
        <v>26</v>
      </c>
      <c r="F151" s="2">
        <v>98</v>
      </c>
      <c r="G151" s="3">
        <v>204</v>
      </c>
    </row>
    <row r="152" spans="3:7" x14ac:dyDescent="0.2">
      <c r="C152" t="s">
        <v>7</v>
      </c>
      <c r="D152" t="s">
        <v>35</v>
      </c>
      <c r="E152" t="s">
        <v>27</v>
      </c>
      <c r="F152" s="2">
        <v>2478</v>
      </c>
      <c r="G152" s="3">
        <v>21</v>
      </c>
    </row>
    <row r="153" spans="3:7" x14ac:dyDescent="0.2">
      <c r="C153" t="s">
        <v>41</v>
      </c>
      <c r="D153" t="s">
        <v>34</v>
      </c>
      <c r="E153" t="s">
        <v>33</v>
      </c>
      <c r="F153" s="2">
        <v>7847</v>
      </c>
      <c r="G153" s="3">
        <v>174</v>
      </c>
    </row>
    <row r="154" spans="3:7" x14ac:dyDescent="0.2">
      <c r="C154" t="s">
        <v>2</v>
      </c>
      <c r="D154" t="s">
        <v>37</v>
      </c>
      <c r="E154" t="s">
        <v>17</v>
      </c>
      <c r="F154" s="2">
        <v>9926</v>
      </c>
      <c r="G154" s="3">
        <v>201</v>
      </c>
    </row>
    <row r="155" spans="3:7" x14ac:dyDescent="0.2">
      <c r="C155" t="s">
        <v>8</v>
      </c>
      <c r="D155" t="s">
        <v>38</v>
      </c>
      <c r="E155" t="s">
        <v>13</v>
      </c>
      <c r="F155" s="2">
        <v>819</v>
      </c>
      <c r="G155" s="3">
        <v>510</v>
      </c>
    </row>
    <row r="156" spans="3:7" x14ac:dyDescent="0.2">
      <c r="C156" t="s">
        <v>6</v>
      </c>
      <c r="D156" t="s">
        <v>39</v>
      </c>
      <c r="E156" t="s">
        <v>29</v>
      </c>
      <c r="F156" s="2">
        <v>3052</v>
      </c>
      <c r="G156" s="3">
        <v>378</v>
      </c>
    </row>
    <row r="157" spans="3:7" x14ac:dyDescent="0.2">
      <c r="C157" t="s">
        <v>9</v>
      </c>
      <c r="D157" t="s">
        <v>34</v>
      </c>
      <c r="E157" t="s">
        <v>21</v>
      </c>
      <c r="F157" s="2">
        <v>6832</v>
      </c>
      <c r="G157" s="3">
        <v>27</v>
      </c>
    </row>
    <row r="158" spans="3:7" x14ac:dyDescent="0.2">
      <c r="C158" t="s">
        <v>2</v>
      </c>
      <c r="D158" t="s">
        <v>39</v>
      </c>
      <c r="E158" t="s">
        <v>16</v>
      </c>
      <c r="F158" s="2">
        <v>2016</v>
      </c>
      <c r="G158" s="3">
        <v>117</v>
      </c>
    </row>
    <row r="159" spans="3:7" x14ac:dyDescent="0.2">
      <c r="C159" t="s">
        <v>6</v>
      </c>
      <c r="D159" t="s">
        <v>38</v>
      </c>
      <c r="E159" t="s">
        <v>21</v>
      </c>
      <c r="F159" s="2">
        <v>7322</v>
      </c>
      <c r="G159" s="3">
        <v>36</v>
      </c>
    </row>
    <row r="160" spans="3:7" x14ac:dyDescent="0.2">
      <c r="C160" t="s">
        <v>8</v>
      </c>
      <c r="D160" t="s">
        <v>35</v>
      </c>
      <c r="E160" t="s">
        <v>33</v>
      </c>
      <c r="F160" s="2">
        <v>357</v>
      </c>
      <c r="G160" s="3">
        <v>126</v>
      </c>
    </row>
    <row r="161" spans="3:7" x14ac:dyDescent="0.2">
      <c r="C161" t="s">
        <v>9</v>
      </c>
      <c r="D161" t="s">
        <v>39</v>
      </c>
      <c r="E161" t="s">
        <v>25</v>
      </c>
      <c r="F161" s="2">
        <v>3192</v>
      </c>
      <c r="G161" s="3">
        <v>72</v>
      </c>
    </row>
    <row r="162" spans="3:7" x14ac:dyDescent="0.2">
      <c r="C162" t="s">
        <v>7</v>
      </c>
      <c r="D162" t="s">
        <v>36</v>
      </c>
      <c r="E162" t="s">
        <v>22</v>
      </c>
      <c r="F162" s="2">
        <v>8435</v>
      </c>
      <c r="G162" s="3">
        <v>42</v>
      </c>
    </row>
    <row r="163" spans="3:7" x14ac:dyDescent="0.2">
      <c r="C163" t="s">
        <v>40</v>
      </c>
      <c r="D163" t="s">
        <v>39</v>
      </c>
      <c r="E163" t="s">
        <v>29</v>
      </c>
      <c r="F163" s="2">
        <v>0</v>
      </c>
      <c r="G163" s="3">
        <v>135</v>
      </c>
    </row>
    <row r="164" spans="3:7" x14ac:dyDescent="0.2">
      <c r="C164" t="s">
        <v>7</v>
      </c>
      <c r="D164" t="s">
        <v>34</v>
      </c>
      <c r="E164" t="s">
        <v>24</v>
      </c>
      <c r="F164" s="2">
        <v>8862</v>
      </c>
      <c r="G164" s="3">
        <v>189</v>
      </c>
    </row>
    <row r="165" spans="3:7" x14ac:dyDescent="0.2">
      <c r="C165" t="s">
        <v>6</v>
      </c>
      <c r="D165" t="s">
        <v>37</v>
      </c>
      <c r="E165" t="s">
        <v>28</v>
      </c>
      <c r="F165" s="2">
        <v>3556</v>
      </c>
      <c r="G165" s="3">
        <v>459</v>
      </c>
    </row>
    <row r="166" spans="3:7" x14ac:dyDescent="0.2">
      <c r="C166" t="s">
        <v>5</v>
      </c>
      <c r="D166" t="s">
        <v>34</v>
      </c>
      <c r="E166" t="s">
        <v>15</v>
      </c>
      <c r="F166" s="2">
        <v>7280</v>
      </c>
      <c r="G166" s="3">
        <v>201</v>
      </c>
    </row>
    <row r="167" spans="3:7" x14ac:dyDescent="0.2">
      <c r="C167" t="s">
        <v>6</v>
      </c>
      <c r="D167" t="s">
        <v>34</v>
      </c>
      <c r="E167" t="s">
        <v>30</v>
      </c>
      <c r="F167" s="2">
        <v>3402</v>
      </c>
      <c r="G167" s="3">
        <v>366</v>
      </c>
    </row>
    <row r="168" spans="3:7" x14ac:dyDescent="0.2">
      <c r="C168" t="s">
        <v>3</v>
      </c>
      <c r="D168" t="s">
        <v>37</v>
      </c>
      <c r="E168" t="s">
        <v>29</v>
      </c>
      <c r="F168" s="2">
        <v>4592</v>
      </c>
      <c r="G168" s="3">
        <v>324</v>
      </c>
    </row>
    <row r="169" spans="3:7" x14ac:dyDescent="0.2">
      <c r="C169" t="s">
        <v>9</v>
      </c>
      <c r="D169" t="s">
        <v>35</v>
      </c>
      <c r="E169" t="s">
        <v>15</v>
      </c>
      <c r="F169" s="2">
        <v>7833</v>
      </c>
      <c r="G169" s="3">
        <v>243</v>
      </c>
    </row>
    <row r="170" spans="3:7" x14ac:dyDescent="0.2">
      <c r="C170" t="s">
        <v>2</v>
      </c>
      <c r="D170" t="s">
        <v>39</v>
      </c>
      <c r="E170" t="s">
        <v>21</v>
      </c>
      <c r="F170" s="2">
        <v>7651</v>
      </c>
      <c r="G170" s="3">
        <v>213</v>
      </c>
    </row>
    <row r="171" spans="3:7" x14ac:dyDescent="0.2">
      <c r="C171" t="s">
        <v>40</v>
      </c>
      <c r="D171" t="s">
        <v>35</v>
      </c>
      <c r="E171" t="s">
        <v>30</v>
      </c>
      <c r="F171" s="2">
        <v>2275</v>
      </c>
      <c r="G171" s="3">
        <v>447</v>
      </c>
    </row>
    <row r="172" spans="3:7" x14ac:dyDescent="0.2">
      <c r="C172" t="s">
        <v>40</v>
      </c>
      <c r="D172" t="s">
        <v>38</v>
      </c>
      <c r="E172" t="s">
        <v>13</v>
      </c>
      <c r="F172" s="2">
        <v>5670</v>
      </c>
      <c r="G172" s="3">
        <v>297</v>
      </c>
    </row>
    <row r="173" spans="3:7" x14ac:dyDescent="0.2">
      <c r="C173" t="s">
        <v>7</v>
      </c>
      <c r="D173" t="s">
        <v>35</v>
      </c>
      <c r="E173" t="s">
        <v>16</v>
      </c>
      <c r="F173" s="2">
        <v>2135</v>
      </c>
      <c r="G173" s="3">
        <v>27</v>
      </c>
    </row>
    <row r="174" spans="3:7" x14ac:dyDescent="0.2">
      <c r="C174" t="s">
        <v>40</v>
      </c>
      <c r="D174" t="s">
        <v>34</v>
      </c>
      <c r="E174" t="s">
        <v>23</v>
      </c>
      <c r="F174" s="2">
        <v>2779</v>
      </c>
      <c r="G174" s="3">
        <v>75</v>
      </c>
    </row>
    <row r="175" spans="3:7" x14ac:dyDescent="0.2">
      <c r="C175" t="s">
        <v>10</v>
      </c>
      <c r="D175" t="s">
        <v>39</v>
      </c>
      <c r="E175" t="s">
        <v>33</v>
      </c>
      <c r="F175" s="2">
        <v>12950</v>
      </c>
      <c r="G175" s="3">
        <v>30</v>
      </c>
    </row>
    <row r="176" spans="3:7" x14ac:dyDescent="0.2">
      <c r="C176" t="s">
        <v>7</v>
      </c>
      <c r="D176" t="s">
        <v>36</v>
      </c>
      <c r="E176" t="s">
        <v>18</v>
      </c>
      <c r="F176" s="2">
        <v>2646</v>
      </c>
      <c r="G176" s="3">
        <v>177</v>
      </c>
    </row>
    <row r="177" spans="3:7" x14ac:dyDescent="0.2">
      <c r="C177" t="s">
        <v>40</v>
      </c>
      <c r="D177" t="s">
        <v>34</v>
      </c>
      <c r="E177" t="s">
        <v>33</v>
      </c>
      <c r="F177" s="2">
        <v>3794</v>
      </c>
      <c r="G177" s="3">
        <v>159</v>
      </c>
    </row>
    <row r="178" spans="3:7" x14ac:dyDescent="0.2">
      <c r="C178" t="s">
        <v>3</v>
      </c>
      <c r="D178" t="s">
        <v>35</v>
      </c>
      <c r="E178" t="s">
        <v>33</v>
      </c>
      <c r="F178" s="2">
        <v>819</v>
      </c>
      <c r="G178" s="3">
        <v>306</v>
      </c>
    </row>
    <row r="179" spans="3:7" x14ac:dyDescent="0.2">
      <c r="C179" t="s">
        <v>3</v>
      </c>
      <c r="D179" t="s">
        <v>34</v>
      </c>
      <c r="E179" t="s">
        <v>20</v>
      </c>
      <c r="F179" s="2">
        <v>2583</v>
      </c>
      <c r="G179" s="3">
        <v>18</v>
      </c>
    </row>
    <row r="180" spans="3:7" x14ac:dyDescent="0.2">
      <c r="C180" t="s">
        <v>7</v>
      </c>
      <c r="D180" t="s">
        <v>35</v>
      </c>
      <c r="E180" t="s">
        <v>19</v>
      </c>
      <c r="F180" s="2">
        <v>4585</v>
      </c>
      <c r="G180" s="3">
        <v>240</v>
      </c>
    </row>
    <row r="181" spans="3:7" x14ac:dyDescent="0.2">
      <c r="C181" t="s">
        <v>5</v>
      </c>
      <c r="D181" t="s">
        <v>34</v>
      </c>
      <c r="E181" t="s">
        <v>33</v>
      </c>
      <c r="F181" s="2">
        <v>1652</v>
      </c>
      <c r="G181" s="3">
        <v>93</v>
      </c>
    </row>
    <row r="182" spans="3:7" x14ac:dyDescent="0.2">
      <c r="C182" t="s">
        <v>10</v>
      </c>
      <c r="D182" t="s">
        <v>34</v>
      </c>
      <c r="E182" t="s">
        <v>26</v>
      </c>
      <c r="F182" s="2">
        <v>4991</v>
      </c>
      <c r="G182" s="3">
        <v>9</v>
      </c>
    </row>
    <row r="183" spans="3:7" x14ac:dyDescent="0.2">
      <c r="C183" t="s">
        <v>8</v>
      </c>
      <c r="D183" t="s">
        <v>34</v>
      </c>
      <c r="E183" t="s">
        <v>16</v>
      </c>
      <c r="F183" s="2">
        <v>2009</v>
      </c>
      <c r="G183" s="3">
        <v>219</v>
      </c>
    </row>
    <row r="184" spans="3:7" x14ac:dyDescent="0.2">
      <c r="C184" t="s">
        <v>2</v>
      </c>
      <c r="D184" t="s">
        <v>39</v>
      </c>
      <c r="E184" t="s">
        <v>22</v>
      </c>
      <c r="F184" s="2">
        <v>1568</v>
      </c>
      <c r="G184" s="3">
        <v>141</v>
      </c>
    </row>
    <row r="185" spans="3:7" x14ac:dyDescent="0.2">
      <c r="C185" t="s">
        <v>41</v>
      </c>
      <c r="D185" t="s">
        <v>37</v>
      </c>
      <c r="E185" t="s">
        <v>20</v>
      </c>
      <c r="F185" s="2">
        <v>3388</v>
      </c>
      <c r="G185" s="3">
        <v>123</v>
      </c>
    </row>
    <row r="186" spans="3:7" x14ac:dyDescent="0.2">
      <c r="C186" t="s">
        <v>40</v>
      </c>
      <c r="D186" t="s">
        <v>38</v>
      </c>
      <c r="E186" t="s">
        <v>24</v>
      </c>
      <c r="F186" s="2">
        <v>623</v>
      </c>
      <c r="G186" s="3">
        <v>51</v>
      </c>
    </row>
    <row r="187" spans="3:7" x14ac:dyDescent="0.2">
      <c r="C187" t="s">
        <v>6</v>
      </c>
      <c r="D187" t="s">
        <v>36</v>
      </c>
      <c r="E187" t="s">
        <v>4</v>
      </c>
      <c r="F187" s="2">
        <v>10073</v>
      </c>
      <c r="G187" s="3">
        <v>120</v>
      </c>
    </row>
    <row r="188" spans="3:7" x14ac:dyDescent="0.2">
      <c r="C188" t="s">
        <v>8</v>
      </c>
      <c r="D188" t="s">
        <v>39</v>
      </c>
      <c r="E188" t="s">
        <v>26</v>
      </c>
      <c r="F188" s="2">
        <v>1561</v>
      </c>
      <c r="G188" s="3">
        <v>27</v>
      </c>
    </row>
    <row r="189" spans="3:7" x14ac:dyDescent="0.2">
      <c r="C189" t="s">
        <v>9</v>
      </c>
      <c r="D189" t="s">
        <v>36</v>
      </c>
      <c r="E189" t="s">
        <v>27</v>
      </c>
      <c r="F189" s="2">
        <v>11522</v>
      </c>
      <c r="G189" s="3">
        <v>204</v>
      </c>
    </row>
    <row r="190" spans="3:7" x14ac:dyDescent="0.2">
      <c r="C190" t="s">
        <v>6</v>
      </c>
      <c r="D190" t="s">
        <v>38</v>
      </c>
      <c r="E190" t="s">
        <v>13</v>
      </c>
      <c r="F190" s="2">
        <v>2317</v>
      </c>
      <c r="G190" s="3">
        <v>123</v>
      </c>
    </row>
    <row r="191" spans="3:7" x14ac:dyDescent="0.2">
      <c r="C191" t="s">
        <v>10</v>
      </c>
      <c r="D191" t="s">
        <v>37</v>
      </c>
      <c r="E191" t="s">
        <v>28</v>
      </c>
      <c r="F191" s="2">
        <v>3059</v>
      </c>
      <c r="G191" s="3">
        <v>27</v>
      </c>
    </row>
    <row r="192" spans="3:7" x14ac:dyDescent="0.2">
      <c r="C192" t="s">
        <v>41</v>
      </c>
      <c r="D192" t="s">
        <v>37</v>
      </c>
      <c r="E192" t="s">
        <v>26</v>
      </c>
      <c r="F192" s="2">
        <v>2324</v>
      </c>
      <c r="G192" s="3">
        <v>177</v>
      </c>
    </row>
    <row r="193" spans="3:7" x14ac:dyDescent="0.2">
      <c r="C193" t="s">
        <v>3</v>
      </c>
      <c r="D193" t="s">
        <v>39</v>
      </c>
      <c r="E193" t="s">
        <v>26</v>
      </c>
      <c r="F193" s="2">
        <v>4956</v>
      </c>
      <c r="G193" s="3">
        <v>171</v>
      </c>
    </row>
    <row r="194" spans="3:7" x14ac:dyDescent="0.2">
      <c r="C194" t="s">
        <v>10</v>
      </c>
      <c r="D194" t="s">
        <v>34</v>
      </c>
      <c r="E194" t="s">
        <v>19</v>
      </c>
      <c r="F194" s="2">
        <v>5355</v>
      </c>
      <c r="G194" s="3">
        <v>204</v>
      </c>
    </row>
    <row r="195" spans="3:7" x14ac:dyDescent="0.2">
      <c r="C195" t="s">
        <v>3</v>
      </c>
      <c r="D195" t="s">
        <v>34</v>
      </c>
      <c r="E195" t="s">
        <v>14</v>
      </c>
      <c r="F195" s="2">
        <v>7259</v>
      </c>
      <c r="G195" s="3">
        <v>276</v>
      </c>
    </row>
    <row r="196" spans="3:7" x14ac:dyDescent="0.2">
      <c r="C196" t="s">
        <v>8</v>
      </c>
      <c r="D196" t="s">
        <v>37</v>
      </c>
      <c r="E196" t="s">
        <v>26</v>
      </c>
      <c r="F196" s="2">
        <v>6279</v>
      </c>
      <c r="G196" s="3">
        <v>45</v>
      </c>
    </row>
    <row r="197" spans="3:7" x14ac:dyDescent="0.2">
      <c r="C197" t="s">
        <v>40</v>
      </c>
      <c r="D197" t="s">
        <v>38</v>
      </c>
      <c r="E197" t="s">
        <v>29</v>
      </c>
      <c r="F197" s="2">
        <v>2541</v>
      </c>
      <c r="G197" s="3">
        <v>45</v>
      </c>
    </row>
    <row r="198" spans="3:7" x14ac:dyDescent="0.2">
      <c r="C198" t="s">
        <v>6</v>
      </c>
      <c r="D198" t="s">
        <v>35</v>
      </c>
      <c r="E198" t="s">
        <v>27</v>
      </c>
      <c r="F198" s="2">
        <v>3864</v>
      </c>
      <c r="G198" s="3">
        <v>177</v>
      </c>
    </row>
    <row r="199" spans="3:7" x14ac:dyDescent="0.2">
      <c r="C199" t="s">
        <v>5</v>
      </c>
      <c r="D199" t="s">
        <v>36</v>
      </c>
      <c r="E199" t="s">
        <v>13</v>
      </c>
      <c r="F199" s="2">
        <v>6146</v>
      </c>
      <c r="G199" s="3">
        <v>63</v>
      </c>
    </row>
    <row r="200" spans="3:7" x14ac:dyDescent="0.2">
      <c r="C200" t="s">
        <v>9</v>
      </c>
      <c r="D200" t="s">
        <v>39</v>
      </c>
      <c r="E200" t="s">
        <v>18</v>
      </c>
      <c r="F200" s="2">
        <v>2639</v>
      </c>
      <c r="G200" s="3">
        <v>204</v>
      </c>
    </row>
    <row r="201" spans="3:7" x14ac:dyDescent="0.2">
      <c r="C201" t="s">
        <v>8</v>
      </c>
      <c r="D201" t="s">
        <v>37</v>
      </c>
      <c r="E201" t="s">
        <v>22</v>
      </c>
      <c r="F201" s="2">
        <v>1890</v>
      </c>
      <c r="G201" s="3">
        <v>195</v>
      </c>
    </row>
    <row r="202" spans="3:7" x14ac:dyDescent="0.2">
      <c r="C202" t="s">
        <v>7</v>
      </c>
      <c r="D202" t="s">
        <v>34</v>
      </c>
      <c r="E202" t="s">
        <v>14</v>
      </c>
      <c r="F202" s="2">
        <v>1932</v>
      </c>
      <c r="G202" s="3">
        <v>369</v>
      </c>
    </row>
    <row r="203" spans="3:7" x14ac:dyDescent="0.2">
      <c r="C203" t="s">
        <v>3</v>
      </c>
      <c r="D203" t="s">
        <v>34</v>
      </c>
      <c r="E203" t="s">
        <v>25</v>
      </c>
      <c r="F203" s="2">
        <v>6300</v>
      </c>
      <c r="G203" s="3">
        <v>42</v>
      </c>
    </row>
    <row r="204" spans="3:7" x14ac:dyDescent="0.2">
      <c r="C204" t="s">
        <v>6</v>
      </c>
      <c r="D204" t="s">
        <v>37</v>
      </c>
      <c r="E204" t="s">
        <v>30</v>
      </c>
      <c r="F204" s="2">
        <v>560</v>
      </c>
      <c r="G204" s="3">
        <v>81</v>
      </c>
    </row>
    <row r="205" spans="3:7" x14ac:dyDescent="0.2">
      <c r="C205" t="s">
        <v>9</v>
      </c>
      <c r="D205" t="s">
        <v>37</v>
      </c>
      <c r="E205" t="s">
        <v>26</v>
      </c>
      <c r="F205" s="2">
        <v>2856</v>
      </c>
      <c r="G205" s="3">
        <v>246</v>
      </c>
    </row>
    <row r="206" spans="3:7" x14ac:dyDescent="0.2">
      <c r="C206" t="s">
        <v>9</v>
      </c>
      <c r="D206" t="s">
        <v>34</v>
      </c>
      <c r="E206" t="s">
        <v>17</v>
      </c>
      <c r="F206" s="2">
        <v>707</v>
      </c>
      <c r="G206" s="3">
        <v>174</v>
      </c>
    </row>
    <row r="207" spans="3:7" x14ac:dyDescent="0.2">
      <c r="C207" t="s">
        <v>8</v>
      </c>
      <c r="D207" t="s">
        <v>35</v>
      </c>
      <c r="E207" t="s">
        <v>30</v>
      </c>
      <c r="F207" s="2">
        <v>3598</v>
      </c>
      <c r="G207" s="3">
        <v>81</v>
      </c>
    </row>
    <row r="208" spans="3:7" x14ac:dyDescent="0.2">
      <c r="C208" t="s">
        <v>40</v>
      </c>
      <c r="D208" t="s">
        <v>35</v>
      </c>
      <c r="E208" t="s">
        <v>22</v>
      </c>
      <c r="F208" s="2">
        <v>6853</v>
      </c>
      <c r="G208" s="3">
        <v>372</v>
      </c>
    </row>
    <row r="209" spans="3:7" x14ac:dyDescent="0.2">
      <c r="C209" t="s">
        <v>40</v>
      </c>
      <c r="D209" t="s">
        <v>35</v>
      </c>
      <c r="E209" t="s">
        <v>16</v>
      </c>
      <c r="F209" s="2">
        <v>4725</v>
      </c>
      <c r="G209" s="3">
        <v>174</v>
      </c>
    </row>
    <row r="210" spans="3:7" x14ac:dyDescent="0.2">
      <c r="C210" t="s">
        <v>41</v>
      </c>
      <c r="D210" t="s">
        <v>36</v>
      </c>
      <c r="E210" t="s">
        <v>32</v>
      </c>
      <c r="F210" s="2">
        <v>10304</v>
      </c>
      <c r="G210" s="3">
        <v>84</v>
      </c>
    </row>
    <row r="211" spans="3:7" x14ac:dyDescent="0.2">
      <c r="C211" t="s">
        <v>41</v>
      </c>
      <c r="D211" t="s">
        <v>34</v>
      </c>
      <c r="E211" t="s">
        <v>16</v>
      </c>
      <c r="F211" s="2">
        <v>1274</v>
      </c>
      <c r="G211" s="3">
        <v>225</v>
      </c>
    </row>
    <row r="212" spans="3:7" x14ac:dyDescent="0.2">
      <c r="C212" t="s">
        <v>5</v>
      </c>
      <c r="D212" t="s">
        <v>36</v>
      </c>
      <c r="E212" t="s">
        <v>30</v>
      </c>
      <c r="F212" s="2">
        <v>1526</v>
      </c>
      <c r="G212" s="3">
        <v>105</v>
      </c>
    </row>
    <row r="213" spans="3:7" x14ac:dyDescent="0.2">
      <c r="C213" t="s">
        <v>40</v>
      </c>
      <c r="D213" t="s">
        <v>39</v>
      </c>
      <c r="E213" t="s">
        <v>28</v>
      </c>
      <c r="F213" s="2">
        <v>3101</v>
      </c>
      <c r="G213" s="3">
        <v>225</v>
      </c>
    </row>
    <row r="214" spans="3:7" x14ac:dyDescent="0.2">
      <c r="C214" t="s">
        <v>2</v>
      </c>
      <c r="D214" t="s">
        <v>37</v>
      </c>
      <c r="E214" t="s">
        <v>14</v>
      </c>
      <c r="F214" s="2">
        <v>1057</v>
      </c>
      <c r="G214" s="3">
        <v>54</v>
      </c>
    </row>
    <row r="215" spans="3:7" x14ac:dyDescent="0.2">
      <c r="C215" t="s">
        <v>5</v>
      </c>
      <c r="D215" t="s">
        <v>39</v>
      </c>
      <c r="E215" t="s">
        <v>24</v>
      </c>
      <c r="F215" s="2">
        <v>4018</v>
      </c>
      <c r="G215" s="3">
        <v>171</v>
      </c>
    </row>
    <row r="216" spans="3:7" x14ac:dyDescent="0.2">
      <c r="C216" t="s">
        <v>9</v>
      </c>
      <c r="D216" t="s">
        <v>34</v>
      </c>
      <c r="E216" t="s">
        <v>16</v>
      </c>
      <c r="F216" s="2">
        <v>938</v>
      </c>
      <c r="G216" s="3">
        <v>189</v>
      </c>
    </row>
    <row r="217" spans="3:7" x14ac:dyDescent="0.2">
      <c r="C217" t="s">
        <v>7</v>
      </c>
      <c r="D217" t="s">
        <v>38</v>
      </c>
      <c r="E217" t="s">
        <v>18</v>
      </c>
      <c r="F217" s="2">
        <v>1778</v>
      </c>
      <c r="G217" s="3">
        <v>270</v>
      </c>
    </row>
    <row r="218" spans="3:7" x14ac:dyDescent="0.2">
      <c r="C218" t="s">
        <v>6</v>
      </c>
      <c r="D218" t="s">
        <v>39</v>
      </c>
      <c r="E218" t="s">
        <v>30</v>
      </c>
      <c r="F218" s="2">
        <v>1638</v>
      </c>
      <c r="G218" s="3">
        <v>63</v>
      </c>
    </row>
    <row r="219" spans="3:7" x14ac:dyDescent="0.2">
      <c r="C219" t="s">
        <v>41</v>
      </c>
      <c r="D219" t="s">
        <v>38</v>
      </c>
      <c r="E219" t="s">
        <v>25</v>
      </c>
      <c r="F219" s="2">
        <v>154</v>
      </c>
      <c r="G219" s="3">
        <v>21</v>
      </c>
    </row>
    <row r="220" spans="3:7" x14ac:dyDescent="0.2">
      <c r="C220" t="s">
        <v>7</v>
      </c>
      <c r="D220" t="s">
        <v>37</v>
      </c>
      <c r="E220" t="s">
        <v>22</v>
      </c>
      <c r="F220" s="2">
        <v>9835</v>
      </c>
      <c r="G220" s="3">
        <v>207</v>
      </c>
    </row>
    <row r="221" spans="3:7" x14ac:dyDescent="0.2">
      <c r="C221" t="s">
        <v>9</v>
      </c>
      <c r="D221" t="s">
        <v>37</v>
      </c>
      <c r="E221" t="s">
        <v>20</v>
      </c>
      <c r="F221" s="2">
        <v>7273</v>
      </c>
      <c r="G221" s="3">
        <v>96</v>
      </c>
    </row>
    <row r="222" spans="3:7" x14ac:dyDescent="0.2">
      <c r="C222" t="s">
        <v>5</v>
      </c>
      <c r="D222" t="s">
        <v>39</v>
      </c>
      <c r="E222" t="s">
        <v>22</v>
      </c>
      <c r="F222" s="2">
        <v>6909</v>
      </c>
      <c r="G222" s="3">
        <v>81</v>
      </c>
    </row>
    <row r="223" spans="3:7" x14ac:dyDescent="0.2">
      <c r="C223" t="s">
        <v>9</v>
      </c>
      <c r="D223" t="s">
        <v>39</v>
      </c>
      <c r="E223" t="s">
        <v>24</v>
      </c>
      <c r="F223" s="2">
        <v>3920</v>
      </c>
      <c r="G223" s="3">
        <v>306</v>
      </c>
    </row>
    <row r="224" spans="3:7" x14ac:dyDescent="0.2">
      <c r="C224" t="s">
        <v>10</v>
      </c>
      <c r="D224" t="s">
        <v>39</v>
      </c>
      <c r="E224" t="s">
        <v>21</v>
      </c>
      <c r="F224" s="2">
        <v>4858</v>
      </c>
      <c r="G224" s="3">
        <v>279</v>
      </c>
    </row>
    <row r="225" spans="3:7" x14ac:dyDescent="0.2">
      <c r="C225" t="s">
        <v>2</v>
      </c>
      <c r="D225" t="s">
        <v>38</v>
      </c>
      <c r="E225" t="s">
        <v>4</v>
      </c>
      <c r="F225" s="2">
        <v>3549</v>
      </c>
      <c r="G225" s="3">
        <v>3</v>
      </c>
    </row>
    <row r="226" spans="3:7" x14ac:dyDescent="0.2">
      <c r="C226" t="s">
        <v>7</v>
      </c>
      <c r="D226" t="s">
        <v>39</v>
      </c>
      <c r="E226" t="s">
        <v>27</v>
      </c>
      <c r="F226" s="2">
        <v>966</v>
      </c>
      <c r="G226" s="3">
        <v>198</v>
      </c>
    </row>
    <row r="227" spans="3:7" x14ac:dyDescent="0.2">
      <c r="C227" t="s">
        <v>5</v>
      </c>
      <c r="D227" t="s">
        <v>39</v>
      </c>
      <c r="E227" t="s">
        <v>18</v>
      </c>
      <c r="F227" s="2">
        <v>385</v>
      </c>
      <c r="G227" s="3">
        <v>249</v>
      </c>
    </row>
    <row r="228" spans="3:7" x14ac:dyDescent="0.2">
      <c r="C228" t="s">
        <v>6</v>
      </c>
      <c r="D228" t="s">
        <v>34</v>
      </c>
      <c r="E228" t="s">
        <v>16</v>
      </c>
      <c r="F228" s="2">
        <v>2219</v>
      </c>
      <c r="G228" s="3">
        <v>75</v>
      </c>
    </row>
    <row r="229" spans="3:7" x14ac:dyDescent="0.2">
      <c r="C229" t="s">
        <v>9</v>
      </c>
      <c r="D229" t="s">
        <v>36</v>
      </c>
      <c r="E229" t="s">
        <v>32</v>
      </c>
      <c r="F229" s="2">
        <v>2954</v>
      </c>
      <c r="G229" s="3">
        <v>189</v>
      </c>
    </row>
    <row r="230" spans="3:7" x14ac:dyDescent="0.2">
      <c r="C230" t="s">
        <v>7</v>
      </c>
      <c r="D230" t="s">
        <v>36</v>
      </c>
      <c r="E230" t="s">
        <v>32</v>
      </c>
      <c r="F230" s="2">
        <v>280</v>
      </c>
      <c r="G230" s="3">
        <v>87</v>
      </c>
    </row>
    <row r="231" spans="3:7" x14ac:dyDescent="0.2">
      <c r="C231" t="s">
        <v>41</v>
      </c>
      <c r="D231" t="s">
        <v>36</v>
      </c>
      <c r="E231" t="s">
        <v>30</v>
      </c>
      <c r="F231" s="2">
        <v>6118</v>
      </c>
      <c r="G231" s="3">
        <v>174</v>
      </c>
    </row>
    <row r="232" spans="3:7" x14ac:dyDescent="0.2">
      <c r="C232" t="s">
        <v>2</v>
      </c>
      <c r="D232" t="s">
        <v>39</v>
      </c>
      <c r="E232" t="s">
        <v>15</v>
      </c>
      <c r="F232" s="2">
        <v>4802</v>
      </c>
      <c r="G232" s="3">
        <v>36</v>
      </c>
    </row>
    <row r="233" spans="3:7" x14ac:dyDescent="0.2">
      <c r="C233" t="s">
        <v>9</v>
      </c>
      <c r="D233" t="s">
        <v>38</v>
      </c>
      <c r="E233" t="s">
        <v>24</v>
      </c>
      <c r="F233" s="2">
        <v>4137</v>
      </c>
      <c r="G233" s="3">
        <v>60</v>
      </c>
    </row>
    <row r="234" spans="3:7" x14ac:dyDescent="0.2">
      <c r="C234" t="s">
        <v>3</v>
      </c>
      <c r="D234" t="s">
        <v>35</v>
      </c>
      <c r="E234" t="s">
        <v>23</v>
      </c>
      <c r="F234" s="2">
        <v>2023</v>
      </c>
      <c r="G234" s="3">
        <v>78</v>
      </c>
    </row>
    <row r="235" spans="3:7" x14ac:dyDescent="0.2">
      <c r="C235" t="s">
        <v>9</v>
      </c>
      <c r="D235" t="s">
        <v>36</v>
      </c>
      <c r="E235" t="s">
        <v>30</v>
      </c>
      <c r="F235" s="2">
        <v>9051</v>
      </c>
      <c r="G235" s="3">
        <v>57</v>
      </c>
    </row>
    <row r="236" spans="3:7" x14ac:dyDescent="0.2">
      <c r="C236" t="s">
        <v>9</v>
      </c>
      <c r="D236" t="s">
        <v>37</v>
      </c>
      <c r="E236" t="s">
        <v>28</v>
      </c>
      <c r="F236" s="2">
        <v>2919</v>
      </c>
      <c r="G236" s="3">
        <v>45</v>
      </c>
    </row>
    <row r="237" spans="3:7" x14ac:dyDescent="0.2">
      <c r="C237" t="s">
        <v>41</v>
      </c>
      <c r="D237" t="s">
        <v>38</v>
      </c>
      <c r="E237" t="s">
        <v>22</v>
      </c>
      <c r="F237" s="2">
        <v>5915</v>
      </c>
      <c r="G237" s="3">
        <v>3</v>
      </c>
    </row>
    <row r="238" spans="3:7" x14ac:dyDescent="0.2">
      <c r="C238" t="s">
        <v>10</v>
      </c>
      <c r="D238" t="s">
        <v>35</v>
      </c>
      <c r="E238" t="s">
        <v>15</v>
      </c>
      <c r="F238" s="2">
        <v>2562</v>
      </c>
      <c r="G238" s="3">
        <v>6</v>
      </c>
    </row>
    <row r="239" spans="3:7" x14ac:dyDescent="0.2">
      <c r="C239" t="s">
        <v>5</v>
      </c>
      <c r="D239" t="s">
        <v>37</v>
      </c>
      <c r="E239" t="s">
        <v>25</v>
      </c>
      <c r="F239" s="2">
        <v>8813</v>
      </c>
      <c r="G239" s="3">
        <v>21</v>
      </c>
    </row>
    <row r="240" spans="3:7" x14ac:dyDescent="0.2">
      <c r="C240" t="s">
        <v>5</v>
      </c>
      <c r="D240" t="s">
        <v>36</v>
      </c>
      <c r="E240" t="s">
        <v>18</v>
      </c>
      <c r="F240" s="2">
        <v>6111</v>
      </c>
      <c r="G240" s="3">
        <v>3</v>
      </c>
    </row>
    <row r="241" spans="3:7" x14ac:dyDescent="0.2">
      <c r="C241" t="s">
        <v>8</v>
      </c>
      <c r="D241" t="s">
        <v>34</v>
      </c>
      <c r="E241" t="s">
        <v>31</v>
      </c>
      <c r="F241" s="2">
        <v>3507</v>
      </c>
      <c r="G241" s="3">
        <v>288</v>
      </c>
    </row>
    <row r="242" spans="3:7" x14ac:dyDescent="0.2">
      <c r="C242" t="s">
        <v>6</v>
      </c>
      <c r="D242" t="s">
        <v>36</v>
      </c>
      <c r="E242" t="s">
        <v>13</v>
      </c>
      <c r="F242" s="2">
        <v>4319</v>
      </c>
      <c r="G242" s="3">
        <v>30</v>
      </c>
    </row>
    <row r="243" spans="3:7" x14ac:dyDescent="0.2">
      <c r="C243" t="s">
        <v>40</v>
      </c>
      <c r="D243" t="s">
        <v>38</v>
      </c>
      <c r="E243" t="s">
        <v>26</v>
      </c>
      <c r="F243" s="2">
        <v>609</v>
      </c>
      <c r="G243" s="3">
        <v>87</v>
      </c>
    </row>
    <row r="244" spans="3:7" x14ac:dyDescent="0.2">
      <c r="C244" t="s">
        <v>40</v>
      </c>
      <c r="D244" t="s">
        <v>39</v>
      </c>
      <c r="E244" t="s">
        <v>27</v>
      </c>
      <c r="F244" s="2">
        <v>6370</v>
      </c>
      <c r="G244" s="3">
        <v>30</v>
      </c>
    </row>
    <row r="245" spans="3:7" x14ac:dyDescent="0.2">
      <c r="C245" t="s">
        <v>5</v>
      </c>
      <c r="D245" t="s">
        <v>38</v>
      </c>
      <c r="E245" t="s">
        <v>19</v>
      </c>
      <c r="F245" s="2">
        <v>5474</v>
      </c>
      <c r="G245" s="3">
        <v>168</v>
      </c>
    </row>
    <row r="246" spans="3:7" x14ac:dyDescent="0.2">
      <c r="C246" t="s">
        <v>40</v>
      </c>
      <c r="D246" t="s">
        <v>36</v>
      </c>
      <c r="E246" t="s">
        <v>27</v>
      </c>
      <c r="F246" s="2">
        <v>3164</v>
      </c>
      <c r="G246" s="3">
        <v>306</v>
      </c>
    </row>
    <row r="247" spans="3:7" x14ac:dyDescent="0.2">
      <c r="C247" t="s">
        <v>6</v>
      </c>
      <c r="D247" t="s">
        <v>35</v>
      </c>
      <c r="E247" t="s">
        <v>4</v>
      </c>
      <c r="F247" s="2">
        <v>1302</v>
      </c>
      <c r="G247" s="3">
        <v>402</v>
      </c>
    </row>
    <row r="248" spans="3:7" x14ac:dyDescent="0.2">
      <c r="C248" t="s">
        <v>3</v>
      </c>
      <c r="D248" t="s">
        <v>37</v>
      </c>
      <c r="E248" t="s">
        <v>28</v>
      </c>
      <c r="F248" s="2">
        <v>7308</v>
      </c>
      <c r="G248" s="3">
        <v>327</v>
      </c>
    </row>
    <row r="249" spans="3:7" x14ac:dyDescent="0.2">
      <c r="C249" t="s">
        <v>40</v>
      </c>
      <c r="D249" t="s">
        <v>37</v>
      </c>
      <c r="E249" t="s">
        <v>27</v>
      </c>
      <c r="F249" s="2">
        <v>6132</v>
      </c>
      <c r="G249" s="3">
        <v>93</v>
      </c>
    </row>
    <row r="250" spans="3:7" x14ac:dyDescent="0.2">
      <c r="C250" t="s">
        <v>10</v>
      </c>
      <c r="D250" t="s">
        <v>35</v>
      </c>
      <c r="E250" t="s">
        <v>14</v>
      </c>
      <c r="F250" s="2">
        <v>3472</v>
      </c>
      <c r="G250" s="3">
        <v>96</v>
      </c>
    </row>
    <row r="251" spans="3:7" x14ac:dyDescent="0.2">
      <c r="C251" t="s">
        <v>8</v>
      </c>
      <c r="D251" t="s">
        <v>39</v>
      </c>
      <c r="E251" t="s">
        <v>18</v>
      </c>
      <c r="F251" s="2">
        <v>9660</v>
      </c>
      <c r="G251" s="3">
        <v>27</v>
      </c>
    </row>
    <row r="252" spans="3:7" x14ac:dyDescent="0.2">
      <c r="C252" t="s">
        <v>9</v>
      </c>
      <c r="D252" t="s">
        <v>38</v>
      </c>
      <c r="E252" t="s">
        <v>26</v>
      </c>
      <c r="F252" s="2">
        <v>2436</v>
      </c>
      <c r="G252" s="3">
        <v>99</v>
      </c>
    </row>
    <row r="253" spans="3:7" x14ac:dyDescent="0.2">
      <c r="C253" t="s">
        <v>9</v>
      </c>
      <c r="D253" t="s">
        <v>38</v>
      </c>
      <c r="E253" t="s">
        <v>33</v>
      </c>
      <c r="F253" s="2">
        <v>9506</v>
      </c>
      <c r="G253" s="3">
        <v>87</v>
      </c>
    </row>
    <row r="254" spans="3:7" x14ac:dyDescent="0.2">
      <c r="C254" t="s">
        <v>10</v>
      </c>
      <c r="D254" t="s">
        <v>37</v>
      </c>
      <c r="E254" t="s">
        <v>21</v>
      </c>
      <c r="F254" s="2">
        <v>245</v>
      </c>
      <c r="G254" s="3">
        <v>288</v>
      </c>
    </row>
    <row r="255" spans="3:7" x14ac:dyDescent="0.2">
      <c r="C255" t="s">
        <v>8</v>
      </c>
      <c r="D255" t="s">
        <v>35</v>
      </c>
      <c r="E255" t="s">
        <v>20</v>
      </c>
      <c r="F255" s="2">
        <v>2702</v>
      </c>
      <c r="G255" s="3">
        <v>363</v>
      </c>
    </row>
    <row r="256" spans="3:7" x14ac:dyDescent="0.2">
      <c r="C256" t="s">
        <v>10</v>
      </c>
      <c r="D256" t="s">
        <v>34</v>
      </c>
      <c r="E256" t="s">
        <v>17</v>
      </c>
      <c r="F256" s="2">
        <v>700</v>
      </c>
      <c r="G256" s="3">
        <v>87</v>
      </c>
    </row>
    <row r="257" spans="3:7" x14ac:dyDescent="0.2">
      <c r="C257" t="s">
        <v>6</v>
      </c>
      <c r="D257" t="s">
        <v>34</v>
      </c>
      <c r="E257" t="s">
        <v>17</v>
      </c>
      <c r="F257" s="2">
        <v>3759</v>
      </c>
      <c r="G257" s="3">
        <v>150</v>
      </c>
    </row>
    <row r="258" spans="3:7" x14ac:dyDescent="0.2">
      <c r="C258" t="s">
        <v>2</v>
      </c>
      <c r="D258" t="s">
        <v>35</v>
      </c>
      <c r="E258" t="s">
        <v>17</v>
      </c>
      <c r="F258" s="2">
        <v>1589</v>
      </c>
      <c r="G258" s="3">
        <v>303</v>
      </c>
    </row>
    <row r="259" spans="3:7" x14ac:dyDescent="0.2">
      <c r="C259" t="s">
        <v>7</v>
      </c>
      <c r="D259" t="s">
        <v>35</v>
      </c>
      <c r="E259" t="s">
        <v>28</v>
      </c>
      <c r="F259" s="2">
        <v>5194</v>
      </c>
      <c r="G259" s="3">
        <v>288</v>
      </c>
    </row>
    <row r="260" spans="3:7" x14ac:dyDescent="0.2">
      <c r="C260" t="s">
        <v>10</v>
      </c>
      <c r="D260" t="s">
        <v>36</v>
      </c>
      <c r="E260" t="s">
        <v>13</v>
      </c>
      <c r="F260" s="2">
        <v>945</v>
      </c>
      <c r="G260" s="3">
        <v>75</v>
      </c>
    </row>
    <row r="261" spans="3:7" x14ac:dyDescent="0.2">
      <c r="C261" t="s">
        <v>40</v>
      </c>
      <c r="D261" t="s">
        <v>38</v>
      </c>
      <c r="E261" t="s">
        <v>31</v>
      </c>
      <c r="F261" s="2">
        <v>1988</v>
      </c>
      <c r="G261" s="3">
        <v>39</v>
      </c>
    </row>
    <row r="262" spans="3:7" x14ac:dyDescent="0.2">
      <c r="C262" t="s">
        <v>6</v>
      </c>
      <c r="D262" t="s">
        <v>34</v>
      </c>
      <c r="E262" t="s">
        <v>32</v>
      </c>
      <c r="F262" s="2">
        <v>6734</v>
      </c>
      <c r="G262" s="3">
        <v>123</v>
      </c>
    </row>
    <row r="263" spans="3:7" x14ac:dyDescent="0.2">
      <c r="C263" t="s">
        <v>40</v>
      </c>
      <c r="D263" t="s">
        <v>36</v>
      </c>
      <c r="E263" t="s">
        <v>4</v>
      </c>
      <c r="F263" s="2">
        <v>217</v>
      </c>
      <c r="G263" s="3">
        <v>36</v>
      </c>
    </row>
    <row r="264" spans="3:7" x14ac:dyDescent="0.2">
      <c r="C264" t="s">
        <v>5</v>
      </c>
      <c r="D264" t="s">
        <v>34</v>
      </c>
      <c r="E264" t="s">
        <v>22</v>
      </c>
      <c r="F264" s="2">
        <v>6279</v>
      </c>
      <c r="G264" s="3">
        <v>237</v>
      </c>
    </row>
    <row r="265" spans="3:7" x14ac:dyDescent="0.2">
      <c r="C265" t="s">
        <v>40</v>
      </c>
      <c r="D265" t="s">
        <v>36</v>
      </c>
      <c r="E265" t="s">
        <v>13</v>
      </c>
      <c r="F265" s="2">
        <v>4424</v>
      </c>
      <c r="G265" s="3">
        <v>201</v>
      </c>
    </row>
    <row r="266" spans="3:7" x14ac:dyDescent="0.2">
      <c r="C266" t="s">
        <v>2</v>
      </c>
      <c r="D266" t="s">
        <v>36</v>
      </c>
      <c r="E266" t="s">
        <v>17</v>
      </c>
      <c r="F266" s="2">
        <v>189</v>
      </c>
      <c r="G266" s="3">
        <v>48</v>
      </c>
    </row>
    <row r="267" spans="3:7" x14ac:dyDescent="0.2">
      <c r="C267" t="s">
        <v>5</v>
      </c>
      <c r="D267" t="s">
        <v>35</v>
      </c>
      <c r="E267" t="s">
        <v>22</v>
      </c>
      <c r="F267" s="2">
        <v>490</v>
      </c>
      <c r="G267" s="3">
        <v>84</v>
      </c>
    </row>
    <row r="268" spans="3:7" x14ac:dyDescent="0.2">
      <c r="C268" t="s">
        <v>8</v>
      </c>
      <c r="D268" t="s">
        <v>37</v>
      </c>
      <c r="E268" t="s">
        <v>21</v>
      </c>
      <c r="F268" s="2">
        <v>434</v>
      </c>
      <c r="G268" s="3">
        <v>87</v>
      </c>
    </row>
    <row r="269" spans="3:7" x14ac:dyDescent="0.2">
      <c r="C269" t="s">
        <v>7</v>
      </c>
      <c r="D269" t="s">
        <v>38</v>
      </c>
      <c r="E269" t="s">
        <v>30</v>
      </c>
      <c r="F269" s="2">
        <v>10129</v>
      </c>
      <c r="G269" s="3">
        <v>312</v>
      </c>
    </row>
    <row r="270" spans="3:7" x14ac:dyDescent="0.2">
      <c r="C270" t="s">
        <v>3</v>
      </c>
      <c r="D270" t="s">
        <v>39</v>
      </c>
      <c r="E270" t="s">
        <v>28</v>
      </c>
      <c r="F270" s="2">
        <v>1652</v>
      </c>
      <c r="G270" s="3">
        <v>102</v>
      </c>
    </row>
    <row r="271" spans="3:7" x14ac:dyDescent="0.2">
      <c r="C271" t="s">
        <v>8</v>
      </c>
      <c r="D271" t="s">
        <v>38</v>
      </c>
      <c r="E271" t="s">
        <v>21</v>
      </c>
      <c r="F271" s="2">
        <v>6433</v>
      </c>
      <c r="G271" s="3">
        <v>78</v>
      </c>
    </row>
    <row r="272" spans="3:7" x14ac:dyDescent="0.2">
      <c r="C272" t="s">
        <v>3</v>
      </c>
      <c r="D272" t="s">
        <v>34</v>
      </c>
      <c r="E272" t="s">
        <v>23</v>
      </c>
      <c r="F272" s="2">
        <v>2212</v>
      </c>
      <c r="G272" s="3">
        <v>117</v>
      </c>
    </row>
    <row r="273" spans="3:7" x14ac:dyDescent="0.2">
      <c r="C273" t="s">
        <v>41</v>
      </c>
      <c r="D273" t="s">
        <v>35</v>
      </c>
      <c r="E273" t="s">
        <v>19</v>
      </c>
      <c r="F273" s="2">
        <v>609</v>
      </c>
      <c r="G273" s="3">
        <v>99</v>
      </c>
    </row>
    <row r="274" spans="3:7" x14ac:dyDescent="0.2">
      <c r="C274" t="s">
        <v>40</v>
      </c>
      <c r="D274" t="s">
        <v>35</v>
      </c>
      <c r="E274" t="s">
        <v>24</v>
      </c>
      <c r="F274" s="2">
        <v>1638</v>
      </c>
      <c r="G274" s="3">
        <v>48</v>
      </c>
    </row>
    <row r="275" spans="3:7" x14ac:dyDescent="0.2">
      <c r="C275" t="s">
        <v>7</v>
      </c>
      <c r="D275" t="s">
        <v>34</v>
      </c>
      <c r="E275" t="s">
        <v>15</v>
      </c>
      <c r="F275" s="2">
        <v>3829</v>
      </c>
      <c r="G275" s="3">
        <v>24</v>
      </c>
    </row>
    <row r="276" spans="3:7" x14ac:dyDescent="0.2">
      <c r="C276" t="s">
        <v>40</v>
      </c>
      <c r="D276" t="s">
        <v>39</v>
      </c>
      <c r="E276" t="s">
        <v>15</v>
      </c>
      <c r="F276" s="2">
        <v>5775</v>
      </c>
      <c r="G276" s="3">
        <v>42</v>
      </c>
    </row>
    <row r="277" spans="3:7" x14ac:dyDescent="0.2">
      <c r="C277" t="s">
        <v>6</v>
      </c>
      <c r="D277" t="s">
        <v>35</v>
      </c>
      <c r="E277" t="s">
        <v>20</v>
      </c>
      <c r="F277" s="2">
        <v>1071</v>
      </c>
      <c r="G277" s="3">
        <v>270</v>
      </c>
    </row>
    <row r="278" spans="3:7" x14ac:dyDescent="0.2">
      <c r="C278" t="s">
        <v>8</v>
      </c>
      <c r="D278" t="s">
        <v>36</v>
      </c>
      <c r="E278" t="s">
        <v>23</v>
      </c>
      <c r="F278" s="2">
        <v>5019</v>
      </c>
      <c r="G278" s="3">
        <v>150</v>
      </c>
    </row>
    <row r="279" spans="3:7" x14ac:dyDescent="0.2">
      <c r="C279" t="s">
        <v>2</v>
      </c>
      <c r="D279" t="s">
        <v>37</v>
      </c>
      <c r="E279" t="s">
        <v>15</v>
      </c>
      <c r="F279" s="2">
        <v>2863</v>
      </c>
      <c r="G279" s="3">
        <v>42</v>
      </c>
    </row>
    <row r="280" spans="3:7" x14ac:dyDescent="0.2">
      <c r="C280" t="s">
        <v>40</v>
      </c>
      <c r="D280" t="s">
        <v>35</v>
      </c>
      <c r="E280" t="s">
        <v>29</v>
      </c>
      <c r="F280" s="2">
        <v>1617</v>
      </c>
      <c r="G280" s="3">
        <v>126</v>
      </c>
    </row>
    <row r="281" spans="3:7" x14ac:dyDescent="0.2">
      <c r="C281" t="s">
        <v>6</v>
      </c>
      <c r="D281" t="s">
        <v>37</v>
      </c>
      <c r="E281" t="s">
        <v>26</v>
      </c>
      <c r="F281" s="2">
        <v>6818</v>
      </c>
      <c r="G281" s="3">
        <v>6</v>
      </c>
    </row>
    <row r="282" spans="3:7" x14ac:dyDescent="0.2">
      <c r="C282" t="s">
        <v>3</v>
      </c>
      <c r="D282" t="s">
        <v>35</v>
      </c>
      <c r="E282" t="s">
        <v>15</v>
      </c>
      <c r="F282" s="2">
        <v>6657</v>
      </c>
      <c r="G282" s="3">
        <v>276</v>
      </c>
    </row>
    <row r="283" spans="3:7" x14ac:dyDescent="0.2">
      <c r="C283" t="s">
        <v>3</v>
      </c>
      <c r="D283" t="s">
        <v>34</v>
      </c>
      <c r="E283" t="s">
        <v>17</v>
      </c>
      <c r="F283" s="2">
        <v>2919</v>
      </c>
      <c r="G283" s="3">
        <v>93</v>
      </c>
    </row>
    <row r="284" spans="3:7" x14ac:dyDescent="0.2">
      <c r="C284" t="s">
        <v>2</v>
      </c>
      <c r="D284" t="s">
        <v>36</v>
      </c>
      <c r="E284" t="s">
        <v>31</v>
      </c>
      <c r="F284" s="2">
        <v>3094</v>
      </c>
      <c r="G284" s="3">
        <v>246</v>
      </c>
    </row>
    <row r="285" spans="3:7" x14ac:dyDescent="0.2">
      <c r="C285" t="s">
        <v>6</v>
      </c>
      <c r="D285" t="s">
        <v>39</v>
      </c>
      <c r="E285" t="s">
        <v>24</v>
      </c>
      <c r="F285" s="2">
        <v>2989</v>
      </c>
      <c r="G285" s="3">
        <v>3</v>
      </c>
    </row>
    <row r="286" spans="3:7" x14ac:dyDescent="0.2">
      <c r="C286" t="s">
        <v>8</v>
      </c>
      <c r="D286" t="s">
        <v>38</v>
      </c>
      <c r="E286" t="s">
        <v>27</v>
      </c>
      <c r="F286" s="2">
        <v>2268</v>
      </c>
      <c r="G286" s="3">
        <v>63</v>
      </c>
    </row>
    <row r="287" spans="3:7" x14ac:dyDescent="0.2">
      <c r="C287" t="s">
        <v>5</v>
      </c>
      <c r="D287" t="s">
        <v>35</v>
      </c>
      <c r="E287" t="s">
        <v>31</v>
      </c>
      <c r="F287" s="2">
        <v>4753</v>
      </c>
      <c r="G287" s="3">
        <v>246</v>
      </c>
    </row>
    <row r="288" spans="3:7" x14ac:dyDescent="0.2">
      <c r="C288" t="s">
        <v>2</v>
      </c>
      <c r="D288" t="s">
        <v>34</v>
      </c>
      <c r="E288" t="s">
        <v>19</v>
      </c>
      <c r="F288" s="2">
        <v>7511</v>
      </c>
      <c r="G288" s="3">
        <v>120</v>
      </c>
    </row>
    <row r="289" spans="3:7" x14ac:dyDescent="0.2">
      <c r="C289" t="s">
        <v>2</v>
      </c>
      <c r="D289" t="s">
        <v>38</v>
      </c>
      <c r="E289" t="s">
        <v>31</v>
      </c>
      <c r="F289" s="2">
        <v>4326</v>
      </c>
      <c r="G289" s="3">
        <v>348</v>
      </c>
    </row>
    <row r="290" spans="3:7" x14ac:dyDescent="0.2">
      <c r="C290" t="s">
        <v>41</v>
      </c>
      <c r="D290" t="s">
        <v>34</v>
      </c>
      <c r="E290" t="s">
        <v>23</v>
      </c>
      <c r="F290" s="2">
        <v>4935</v>
      </c>
      <c r="G290" s="3">
        <v>126</v>
      </c>
    </row>
    <row r="291" spans="3:7" x14ac:dyDescent="0.2">
      <c r="C291" t="s">
        <v>6</v>
      </c>
      <c r="D291" t="s">
        <v>35</v>
      </c>
      <c r="E291" t="s">
        <v>30</v>
      </c>
      <c r="F291" s="2">
        <v>4781</v>
      </c>
      <c r="G291" s="3">
        <v>123</v>
      </c>
    </row>
    <row r="292" spans="3:7" x14ac:dyDescent="0.2">
      <c r="C292" t="s">
        <v>5</v>
      </c>
      <c r="D292" t="s">
        <v>38</v>
      </c>
      <c r="E292" t="s">
        <v>25</v>
      </c>
      <c r="F292" s="2">
        <v>7483</v>
      </c>
      <c r="G292" s="3">
        <v>45</v>
      </c>
    </row>
    <row r="293" spans="3:7" x14ac:dyDescent="0.2">
      <c r="C293" t="s">
        <v>10</v>
      </c>
      <c r="D293" t="s">
        <v>38</v>
      </c>
      <c r="E293" t="s">
        <v>4</v>
      </c>
      <c r="F293" s="2">
        <v>6860</v>
      </c>
      <c r="G293" s="3">
        <v>126</v>
      </c>
    </row>
    <row r="294" spans="3:7" x14ac:dyDescent="0.2">
      <c r="C294" t="s">
        <v>40</v>
      </c>
      <c r="D294" t="s">
        <v>37</v>
      </c>
      <c r="E294" t="s">
        <v>29</v>
      </c>
      <c r="F294" s="2">
        <v>9002</v>
      </c>
      <c r="G294" s="3">
        <v>72</v>
      </c>
    </row>
    <row r="295" spans="3:7" x14ac:dyDescent="0.2">
      <c r="C295" t="s">
        <v>6</v>
      </c>
      <c r="D295" t="s">
        <v>36</v>
      </c>
      <c r="E295" t="s">
        <v>29</v>
      </c>
      <c r="F295" s="2">
        <v>1400</v>
      </c>
      <c r="G295" s="3">
        <v>135</v>
      </c>
    </row>
    <row r="296" spans="3:7" x14ac:dyDescent="0.2">
      <c r="C296" t="s">
        <v>10</v>
      </c>
      <c r="D296" t="s">
        <v>34</v>
      </c>
      <c r="E296" t="s">
        <v>22</v>
      </c>
      <c r="F296" s="2">
        <v>4053</v>
      </c>
      <c r="G296" s="3">
        <v>24</v>
      </c>
    </row>
    <row r="297" spans="3:7" x14ac:dyDescent="0.2">
      <c r="C297" t="s">
        <v>7</v>
      </c>
      <c r="D297" t="s">
        <v>36</v>
      </c>
      <c r="E297" t="s">
        <v>31</v>
      </c>
      <c r="F297" s="2">
        <v>2149</v>
      </c>
      <c r="G297" s="3">
        <v>117</v>
      </c>
    </row>
    <row r="298" spans="3:7" x14ac:dyDescent="0.2">
      <c r="C298" t="s">
        <v>3</v>
      </c>
      <c r="D298" t="s">
        <v>39</v>
      </c>
      <c r="E298" t="s">
        <v>29</v>
      </c>
      <c r="F298" s="2">
        <v>3640</v>
      </c>
      <c r="G298" s="3">
        <v>51</v>
      </c>
    </row>
    <row r="299" spans="3:7" x14ac:dyDescent="0.2">
      <c r="C299" t="s">
        <v>2</v>
      </c>
      <c r="D299" t="s">
        <v>39</v>
      </c>
      <c r="E299" t="s">
        <v>23</v>
      </c>
      <c r="F299" s="2">
        <v>630</v>
      </c>
      <c r="G299" s="3">
        <v>36</v>
      </c>
    </row>
    <row r="300" spans="3:7" x14ac:dyDescent="0.2">
      <c r="C300" t="s">
        <v>9</v>
      </c>
      <c r="D300" t="s">
        <v>35</v>
      </c>
      <c r="E300" t="s">
        <v>27</v>
      </c>
      <c r="F300" s="2">
        <v>2429</v>
      </c>
      <c r="G300" s="3">
        <v>144</v>
      </c>
    </row>
    <row r="301" spans="3:7" x14ac:dyDescent="0.2">
      <c r="C301" t="s">
        <v>9</v>
      </c>
      <c r="D301" t="s">
        <v>36</v>
      </c>
      <c r="E301" t="s">
        <v>25</v>
      </c>
      <c r="F301" s="2">
        <v>2142</v>
      </c>
      <c r="G301" s="3">
        <v>114</v>
      </c>
    </row>
    <row r="302" spans="3:7" x14ac:dyDescent="0.2">
      <c r="C302" t="s">
        <v>7</v>
      </c>
      <c r="D302" t="s">
        <v>37</v>
      </c>
      <c r="E302" t="s">
        <v>30</v>
      </c>
      <c r="F302" s="2">
        <v>6454</v>
      </c>
      <c r="G302" s="3">
        <v>54</v>
      </c>
    </row>
    <row r="303" spans="3:7" x14ac:dyDescent="0.2">
      <c r="C303" t="s">
        <v>7</v>
      </c>
      <c r="D303" t="s">
        <v>37</v>
      </c>
      <c r="E303" t="s">
        <v>16</v>
      </c>
      <c r="F303" s="2">
        <v>4487</v>
      </c>
      <c r="G303" s="3">
        <v>333</v>
      </c>
    </row>
    <row r="304" spans="3:7" x14ac:dyDescent="0.2">
      <c r="C304" t="s">
        <v>3</v>
      </c>
      <c r="D304" t="s">
        <v>37</v>
      </c>
      <c r="E304" t="s">
        <v>4</v>
      </c>
      <c r="F304" s="2">
        <v>938</v>
      </c>
      <c r="G304" s="3">
        <v>366</v>
      </c>
    </row>
    <row r="305" spans="3:7" x14ac:dyDescent="0.2">
      <c r="C305" t="s">
        <v>3</v>
      </c>
      <c r="D305" t="s">
        <v>38</v>
      </c>
      <c r="E305" t="s">
        <v>26</v>
      </c>
      <c r="F305" s="2">
        <v>8841</v>
      </c>
      <c r="G305" s="3">
        <v>303</v>
      </c>
    </row>
    <row r="306" spans="3:7" x14ac:dyDescent="0.2">
      <c r="C306" t="s">
        <v>2</v>
      </c>
      <c r="D306" t="s">
        <v>39</v>
      </c>
      <c r="E306" t="s">
        <v>33</v>
      </c>
      <c r="F306" s="2">
        <v>4018</v>
      </c>
      <c r="G306" s="3">
        <v>126</v>
      </c>
    </row>
    <row r="307" spans="3:7" x14ac:dyDescent="0.2">
      <c r="C307" t="s">
        <v>41</v>
      </c>
      <c r="D307" t="s">
        <v>37</v>
      </c>
      <c r="E307" t="s">
        <v>15</v>
      </c>
      <c r="F307" s="2">
        <v>714</v>
      </c>
      <c r="G307" s="3">
        <v>231</v>
      </c>
    </row>
    <row r="308" spans="3:7" x14ac:dyDescent="0.2">
      <c r="C308" t="s">
        <v>9</v>
      </c>
      <c r="D308" t="s">
        <v>38</v>
      </c>
      <c r="E308" t="s">
        <v>25</v>
      </c>
      <c r="F308" s="2">
        <v>3850</v>
      </c>
      <c r="G308" s="3">
        <v>102</v>
      </c>
    </row>
    <row r="309" spans="3:7" x14ac:dyDescent="0.2">
      <c r="F309" s="2"/>
      <c r="G309" s="3"/>
    </row>
    <row r="310" spans="3:7" x14ac:dyDescent="0.2">
      <c r="F310" s="2"/>
      <c r="G310" s="3"/>
    </row>
    <row r="311" spans="3:7" x14ac:dyDescent="0.2">
      <c r="F311" s="2"/>
      <c r="G311" s="3"/>
    </row>
    <row r="312" spans="3:7" x14ac:dyDescent="0.2">
      <c r="F312" s="2"/>
      <c r="G312" s="3"/>
    </row>
    <row r="313" spans="3:7" x14ac:dyDescent="0.2">
      <c r="F313" s="2"/>
      <c r="G313" s="3"/>
    </row>
    <row r="314" spans="3:7" x14ac:dyDescent="0.2">
      <c r="F314" s="2"/>
      <c r="G314" s="3"/>
    </row>
    <row r="315" spans="3:7" x14ac:dyDescent="0.2">
      <c r="F315" s="2"/>
      <c r="G315" s="3"/>
    </row>
    <row r="316" spans="3:7" x14ac:dyDescent="0.2">
      <c r="F316" s="2"/>
      <c r="G316" s="3"/>
    </row>
    <row r="317" spans="3:7" x14ac:dyDescent="0.2">
      <c r="F317" s="2"/>
      <c r="G317" s="3"/>
    </row>
    <row r="318" spans="3:7" x14ac:dyDescent="0.2">
      <c r="F318" s="2"/>
      <c r="G318" s="3"/>
    </row>
    <row r="319" spans="3:7" x14ac:dyDescent="0.2">
      <c r="F319" s="2"/>
      <c r="G319" s="3"/>
    </row>
    <row r="320" spans="3:7" x14ac:dyDescent="0.2">
      <c r="F320" s="2"/>
      <c r="G320" s="3"/>
    </row>
    <row r="321" spans="6:7" x14ac:dyDescent="0.2">
      <c r="F321" s="2"/>
      <c r="G321" s="3"/>
    </row>
    <row r="322" spans="6:7" x14ac:dyDescent="0.2">
      <c r="F322" s="2"/>
      <c r="G322" s="3"/>
    </row>
    <row r="323" spans="6:7" x14ac:dyDescent="0.2">
      <c r="F323" s="2"/>
      <c r="G323" s="3"/>
    </row>
    <row r="324" spans="6:7" x14ac:dyDescent="0.2">
      <c r="F324" s="2"/>
      <c r="G324" s="3"/>
    </row>
    <row r="325" spans="6:7" x14ac:dyDescent="0.2">
      <c r="F325" s="2"/>
      <c r="G325" s="3"/>
    </row>
    <row r="326" spans="6:7" x14ac:dyDescent="0.2">
      <c r="F326" s="2"/>
      <c r="G326" s="3"/>
    </row>
    <row r="327" spans="6:7" x14ac:dyDescent="0.2">
      <c r="F327" s="2"/>
      <c r="G327" s="3"/>
    </row>
    <row r="328" spans="6:7" x14ac:dyDescent="0.2">
      <c r="F328" s="2"/>
      <c r="G328" s="3"/>
    </row>
    <row r="329" spans="6:7" x14ac:dyDescent="0.2">
      <c r="F329" s="2"/>
      <c r="G329" s="3"/>
    </row>
    <row r="330" spans="6:7" x14ac:dyDescent="0.2">
      <c r="F330" s="2"/>
      <c r="G330" s="3"/>
    </row>
    <row r="331" spans="6:7" x14ac:dyDescent="0.2">
      <c r="F331" s="2"/>
      <c r="G331" s="3"/>
    </row>
    <row r="332" spans="6:7" x14ac:dyDescent="0.2">
      <c r="F332" s="2"/>
      <c r="G332" s="3"/>
    </row>
    <row r="333" spans="6:7" x14ac:dyDescent="0.2">
      <c r="F333" s="2"/>
      <c r="G333" s="3"/>
    </row>
    <row r="334" spans="6:7" x14ac:dyDescent="0.2">
      <c r="F334" s="2"/>
      <c r="G334" s="3"/>
    </row>
    <row r="335" spans="6:7" x14ac:dyDescent="0.2">
      <c r="F335" s="2"/>
      <c r="G335" s="3"/>
    </row>
    <row r="336" spans="6:7" x14ac:dyDescent="0.2">
      <c r="F336" s="2"/>
      <c r="G336" s="3"/>
    </row>
    <row r="337" spans="6:7" x14ac:dyDescent="0.2">
      <c r="F337" s="2"/>
      <c r="G337" s="3"/>
    </row>
    <row r="338" spans="6:7" x14ac:dyDescent="0.2">
      <c r="F338" s="2"/>
      <c r="G338" s="3"/>
    </row>
    <row r="339" spans="6:7" x14ac:dyDescent="0.2">
      <c r="F339" s="2"/>
      <c r="G339" s="3"/>
    </row>
    <row r="340" spans="6:7" x14ac:dyDescent="0.2">
      <c r="F340" s="2"/>
      <c r="G340" s="3"/>
    </row>
    <row r="341" spans="6:7" x14ac:dyDescent="0.2">
      <c r="F341" s="2"/>
      <c r="G341" s="3"/>
    </row>
    <row r="342" spans="6:7" x14ac:dyDescent="0.2">
      <c r="F342" s="2"/>
      <c r="G342" s="3"/>
    </row>
    <row r="343" spans="6:7" x14ac:dyDescent="0.2">
      <c r="F343" s="2"/>
      <c r="G343" s="3"/>
    </row>
    <row r="344" spans="6:7" x14ac:dyDescent="0.2">
      <c r="F344" s="2"/>
      <c r="G344" s="3"/>
    </row>
    <row r="345" spans="6:7" x14ac:dyDescent="0.2">
      <c r="F345" s="2"/>
      <c r="G345" s="3"/>
    </row>
    <row r="346" spans="6:7" x14ac:dyDescent="0.2">
      <c r="F346" s="2"/>
      <c r="G346" s="3"/>
    </row>
    <row r="347" spans="6:7" x14ac:dyDescent="0.2">
      <c r="F347" s="2"/>
      <c r="G347" s="3"/>
    </row>
    <row r="348" spans="6:7" x14ac:dyDescent="0.2">
      <c r="F348" s="2"/>
      <c r="G348" s="3"/>
    </row>
    <row r="349" spans="6:7" x14ac:dyDescent="0.2">
      <c r="F349" s="2"/>
      <c r="G349" s="3"/>
    </row>
    <row r="350" spans="6:7" x14ac:dyDescent="0.2">
      <c r="F350" s="2"/>
      <c r="G350" s="3"/>
    </row>
    <row r="351" spans="6:7" x14ac:dyDescent="0.2">
      <c r="F351" s="2"/>
      <c r="G351" s="3"/>
    </row>
    <row r="352" spans="6:7" x14ac:dyDescent="0.2">
      <c r="F352" s="2"/>
      <c r="G352" s="3"/>
    </row>
    <row r="353" spans="6:7" x14ac:dyDescent="0.2">
      <c r="F353" s="2"/>
      <c r="G353" s="3"/>
    </row>
    <row r="354" spans="6:7" x14ac:dyDescent="0.2">
      <c r="F354" s="2"/>
      <c r="G354" s="3"/>
    </row>
    <row r="355" spans="6:7" x14ac:dyDescent="0.2">
      <c r="F355" s="2"/>
      <c r="G355" s="3"/>
    </row>
    <row r="356" spans="6:7" x14ac:dyDescent="0.2">
      <c r="F356" s="2"/>
      <c r="G356" s="3"/>
    </row>
    <row r="357" spans="6:7" x14ac:dyDescent="0.2">
      <c r="F357" s="2"/>
      <c r="G357" s="3"/>
    </row>
    <row r="358" spans="6:7" x14ac:dyDescent="0.2">
      <c r="F358" s="2"/>
      <c r="G358" s="3"/>
    </row>
    <row r="359" spans="6:7" x14ac:dyDescent="0.2">
      <c r="F359" s="2"/>
      <c r="G359" s="3"/>
    </row>
    <row r="360" spans="6:7" x14ac:dyDescent="0.2">
      <c r="F360" s="2"/>
      <c r="G360" s="3"/>
    </row>
    <row r="361" spans="6:7" x14ac:dyDescent="0.2">
      <c r="F361" s="2"/>
      <c r="G361" s="3"/>
    </row>
    <row r="362" spans="6:7" x14ac:dyDescent="0.2">
      <c r="F362" s="2"/>
      <c r="G362" s="3"/>
    </row>
    <row r="363" spans="6:7" x14ac:dyDescent="0.2">
      <c r="F363" s="2"/>
      <c r="G363" s="3"/>
    </row>
    <row r="364" spans="6:7" x14ac:dyDescent="0.2">
      <c r="F364" s="2"/>
      <c r="G364" s="3"/>
    </row>
    <row r="365" spans="6:7" x14ac:dyDescent="0.2">
      <c r="F365" s="2"/>
      <c r="G365" s="3"/>
    </row>
    <row r="366" spans="6:7" x14ac:dyDescent="0.2">
      <c r="F366" s="2"/>
      <c r="G366" s="3"/>
    </row>
    <row r="367" spans="6:7" x14ac:dyDescent="0.2">
      <c r="F367" s="2"/>
      <c r="G367" s="3"/>
    </row>
    <row r="368" spans="6:7" x14ac:dyDescent="0.2">
      <c r="F368" s="2"/>
      <c r="G368" s="3"/>
    </row>
    <row r="369" spans="6:7" x14ac:dyDescent="0.2">
      <c r="F369" s="2"/>
      <c r="G369" s="3"/>
    </row>
    <row r="370" spans="6:7" x14ac:dyDescent="0.2">
      <c r="F370" s="2"/>
      <c r="G370" s="3"/>
    </row>
    <row r="371" spans="6:7" x14ac:dyDescent="0.2">
      <c r="F371" s="2"/>
      <c r="G371" s="3"/>
    </row>
    <row r="372" spans="6:7" x14ac:dyDescent="0.2">
      <c r="F372" s="2"/>
      <c r="G372" s="3"/>
    </row>
    <row r="373" spans="6:7" x14ac:dyDescent="0.2">
      <c r="F373" s="2"/>
      <c r="G373" s="3"/>
    </row>
    <row r="374" spans="6:7" x14ac:dyDescent="0.2">
      <c r="F374" s="2"/>
      <c r="G374" s="3"/>
    </row>
    <row r="375" spans="6:7" x14ac:dyDescent="0.2">
      <c r="F375" s="2"/>
      <c r="G375" s="3"/>
    </row>
    <row r="376" spans="6:7" x14ac:dyDescent="0.2">
      <c r="F376" s="2"/>
      <c r="G376" s="3"/>
    </row>
    <row r="377" spans="6:7" x14ac:dyDescent="0.2">
      <c r="F377" s="2"/>
      <c r="G377" s="3"/>
    </row>
    <row r="378" spans="6:7" x14ac:dyDescent="0.2">
      <c r="F378" s="2"/>
      <c r="G378" s="3"/>
    </row>
    <row r="379" spans="6:7" x14ac:dyDescent="0.2">
      <c r="F379" s="2"/>
      <c r="G379" s="3"/>
    </row>
    <row r="380" spans="6:7" x14ac:dyDescent="0.2">
      <c r="F380" s="2"/>
      <c r="G380" s="3"/>
    </row>
    <row r="381" spans="6:7" x14ac:dyDescent="0.2">
      <c r="F381" s="2"/>
      <c r="G381" s="3"/>
    </row>
    <row r="382" spans="6:7" x14ac:dyDescent="0.2">
      <c r="F382" s="2"/>
      <c r="G382" s="3"/>
    </row>
    <row r="383" spans="6:7" x14ac:dyDescent="0.2">
      <c r="F383" s="2"/>
      <c r="G383" s="3"/>
    </row>
    <row r="384" spans="6:7" x14ac:dyDescent="0.2">
      <c r="F384" s="2"/>
      <c r="G384" s="3"/>
    </row>
    <row r="385" spans="6:7" x14ac:dyDescent="0.2">
      <c r="F385" s="2"/>
      <c r="G385" s="3"/>
    </row>
    <row r="386" spans="6:7" x14ac:dyDescent="0.2">
      <c r="F386" s="2"/>
      <c r="G386" s="3"/>
    </row>
    <row r="387" spans="6:7" x14ac:dyDescent="0.2">
      <c r="F387" s="2"/>
      <c r="G387" s="3"/>
    </row>
    <row r="388" spans="6:7" x14ac:dyDescent="0.2">
      <c r="F388" s="2"/>
      <c r="G388" s="3"/>
    </row>
    <row r="389" spans="6:7" x14ac:dyDescent="0.2">
      <c r="F389" s="2"/>
      <c r="G389" s="3"/>
    </row>
    <row r="390" spans="6:7" x14ac:dyDescent="0.2">
      <c r="F390" s="2"/>
      <c r="G390" s="3"/>
    </row>
    <row r="391" spans="6:7" x14ac:dyDescent="0.2">
      <c r="F391" s="2"/>
      <c r="G391" s="3"/>
    </row>
    <row r="392" spans="6:7" x14ac:dyDescent="0.2">
      <c r="F392" s="2"/>
      <c r="G392" s="3"/>
    </row>
    <row r="393" spans="6:7" x14ac:dyDescent="0.2">
      <c r="F393" s="2"/>
      <c r="G393" s="3"/>
    </row>
    <row r="394" spans="6:7" x14ac:dyDescent="0.2">
      <c r="F394" s="2"/>
      <c r="G394" s="3"/>
    </row>
    <row r="395" spans="6:7" x14ac:dyDescent="0.2">
      <c r="F395" s="2"/>
      <c r="G395" s="3"/>
    </row>
    <row r="396" spans="6:7" x14ac:dyDescent="0.2">
      <c r="F396" s="2"/>
      <c r="G396" s="3"/>
    </row>
    <row r="397" spans="6:7" x14ac:dyDescent="0.2">
      <c r="F397" s="2"/>
      <c r="G397" s="3"/>
    </row>
    <row r="398" spans="6:7" x14ac:dyDescent="0.2">
      <c r="F398" s="2"/>
      <c r="G398" s="3"/>
    </row>
    <row r="399" spans="6:7" x14ac:dyDescent="0.2">
      <c r="F399" s="2"/>
      <c r="G399" s="3"/>
    </row>
    <row r="400" spans="6:7" x14ac:dyDescent="0.2">
      <c r="F400" s="2"/>
      <c r="G400" s="3"/>
    </row>
    <row r="401" spans="6:7" x14ac:dyDescent="0.2">
      <c r="F401" s="2"/>
      <c r="G401" s="3"/>
    </row>
    <row r="402" spans="6:7" x14ac:dyDescent="0.2">
      <c r="F402" s="2"/>
      <c r="G402" s="3"/>
    </row>
    <row r="403" spans="6:7" x14ac:dyDescent="0.2">
      <c r="F403" s="2"/>
      <c r="G403" s="3"/>
    </row>
    <row r="404" spans="6:7" x14ac:dyDescent="0.2">
      <c r="F404" s="2"/>
      <c r="G404" s="3"/>
    </row>
    <row r="405" spans="6:7" x14ac:dyDescent="0.2">
      <c r="F405" s="2"/>
      <c r="G405" s="3"/>
    </row>
    <row r="406" spans="6:7" x14ac:dyDescent="0.2">
      <c r="F406" s="2"/>
      <c r="G406" s="3"/>
    </row>
    <row r="407" spans="6:7" x14ac:dyDescent="0.2">
      <c r="F407" s="2"/>
      <c r="G407" s="3"/>
    </row>
    <row r="408" spans="6:7" x14ac:dyDescent="0.2">
      <c r="F408" s="2"/>
      <c r="G408" s="3"/>
    </row>
    <row r="409" spans="6:7" x14ac:dyDescent="0.2">
      <c r="F409" s="2"/>
      <c r="G409" s="3"/>
    </row>
    <row r="410" spans="6:7" x14ac:dyDescent="0.2">
      <c r="F410" s="2"/>
      <c r="G410" s="3"/>
    </row>
    <row r="411" spans="6:7" x14ac:dyDescent="0.2">
      <c r="F411" s="2"/>
      <c r="G411" s="3"/>
    </row>
    <row r="412" spans="6:7" x14ac:dyDescent="0.2">
      <c r="F412" s="2"/>
      <c r="G412" s="3"/>
    </row>
    <row r="413" spans="6:7" x14ac:dyDescent="0.2">
      <c r="F413" s="2"/>
      <c r="G413" s="3"/>
    </row>
    <row r="414" spans="6:7" x14ac:dyDescent="0.2">
      <c r="F414" s="2"/>
      <c r="G414" s="3"/>
    </row>
    <row r="415" spans="6:7" x14ac:dyDescent="0.2">
      <c r="F415" s="2"/>
      <c r="G415" s="3"/>
    </row>
    <row r="416" spans="6:7" x14ac:dyDescent="0.2">
      <c r="F416" s="2"/>
      <c r="G416" s="3"/>
    </row>
    <row r="417" spans="6:7" x14ac:dyDescent="0.2">
      <c r="F417" s="2"/>
      <c r="G417" s="3"/>
    </row>
    <row r="418" spans="6:7" x14ac:dyDescent="0.2">
      <c r="F418" s="2"/>
      <c r="G418" s="3"/>
    </row>
    <row r="419" spans="6:7" x14ac:dyDescent="0.2">
      <c r="F419" s="2"/>
      <c r="G419" s="3"/>
    </row>
    <row r="420" spans="6:7" x14ac:dyDescent="0.2">
      <c r="F420" s="2"/>
      <c r="G420" s="3"/>
    </row>
    <row r="421" spans="6:7" x14ac:dyDescent="0.2">
      <c r="F421" s="2"/>
      <c r="G421" s="3"/>
    </row>
    <row r="422" spans="6:7" x14ac:dyDescent="0.2">
      <c r="F422" s="2"/>
      <c r="G422" s="3"/>
    </row>
    <row r="423" spans="6:7" x14ac:dyDescent="0.2">
      <c r="F423" s="2"/>
      <c r="G423" s="3"/>
    </row>
    <row r="424" spans="6:7" x14ac:dyDescent="0.2">
      <c r="F424" s="2"/>
      <c r="G424" s="3"/>
    </row>
    <row r="425" spans="6:7" x14ac:dyDescent="0.2">
      <c r="F425" s="2"/>
      <c r="G425" s="3"/>
    </row>
    <row r="426" spans="6:7" x14ac:dyDescent="0.2">
      <c r="F426" s="2"/>
      <c r="G426" s="3"/>
    </row>
    <row r="427" spans="6:7" x14ac:dyDescent="0.2">
      <c r="F427" s="2"/>
      <c r="G427" s="3"/>
    </row>
    <row r="428" spans="6:7" x14ac:dyDescent="0.2">
      <c r="F428" s="2"/>
      <c r="G428" s="3"/>
    </row>
    <row r="429" spans="6:7" x14ac:dyDescent="0.2">
      <c r="F429" s="2"/>
      <c r="G429" s="3"/>
    </row>
    <row r="430" spans="6:7" x14ac:dyDescent="0.2">
      <c r="F430" s="2"/>
      <c r="G430" s="3"/>
    </row>
    <row r="431" spans="6:7" x14ac:dyDescent="0.2">
      <c r="F431" s="2"/>
      <c r="G431" s="3"/>
    </row>
    <row r="432" spans="6:7" x14ac:dyDescent="0.2">
      <c r="F432" s="2"/>
      <c r="G432" s="3"/>
    </row>
    <row r="433" spans="6:7" x14ac:dyDescent="0.2">
      <c r="F433" s="2"/>
      <c r="G433" s="3"/>
    </row>
    <row r="434" spans="6:7" x14ac:dyDescent="0.2">
      <c r="F434" s="2"/>
      <c r="G434" s="3"/>
    </row>
    <row r="435" spans="6:7" x14ac:dyDescent="0.2">
      <c r="F435" s="2"/>
      <c r="G435" s="3"/>
    </row>
    <row r="436" spans="6:7" x14ac:dyDescent="0.2">
      <c r="F436" s="2"/>
      <c r="G436" s="3"/>
    </row>
    <row r="437" spans="6:7" x14ac:dyDescent="0.2">
      <c r="F437" s="2"/>
      <c r="G437" s="3"/>
    </row>
    <row r="438" spans="6:7" x14ac:dyDescent="0.2">
      <c r="F438" s="2"/>
      <c r="G438" s="3"/>
    </row>
    <row r="439" spans="6:7" x14ac:dyDescent="0.2">
      <c r="F439" s="2"/>
      <c r="G439" s="3"/>
    </row>
    <row r="440" spans="6:7" x14ac:dyDescent="0.2">
      <c r="F440" s="2"/>
      <c r="G440" s="3"/>
    </row>
    <row r="441" spans="6:7" x14ac:dyDescent="0.2">
      <c r="F441" s="2"/>
      <c r="G441" s="3"/>
    </row>
    <row r="442" spans="6:7" x14ac:dyDescent="0.2">
      <c r="F442" s="2"/>
      <c r="G442" s="3"/>
    </row>
    <row r="443" spans="6:7" x14ac:dyDescent="0.2">
      <c r="F443" s="2"/>
      <c r="G443" s="3"/>
    </row>
    <row r="444" spans="6:7" x14ac:dyDescent="0.2">
      <c r="F444" s="2"/>
      <c r="G444" s="3"/>
    </row>
    <row r="445" spans="6:7" x14ac:dyDescent="0.2">
      <c r="F445" s="2"/>
      <c r="G445" s="3"/>
    </row>
    <row r="446" spans="6:7" x14ac:dyDescent="0.2">
      <c r="F446" s="2"/>
      <c r="G446" s="3"/>
    </row>
    <row r="447" spans="6:7" x14ac:dyDescent="0.2">
      <c r="F447" s="2"/>
      <c r="G447" s="3"/>
    </row>
    <row r="448" spans="6:7" x14ac:dyDescent="0.2">
      <c r="F448" s="2"/>
      <c r="G448" s="3"/>
    </row>
    <row r="449" spans="6:7" x14ac:dyDescent="0.2">
      <c r="F449" s="2"/>
      <c r="G449" s="3"/>
    </row>
    <row r="450" spans="6:7" x14ac:dyDescent="0.2">
      <c r="F450" s="2"/>
      <c r="G450" s="3"/>
    </row>
    <row r="451" spans="6:7" x14ac:dyDescent="0.2">
      <c r="F451" s="2"/>
      <c r="G451" s="3"/>
    </row>
    <row r="452" spans="6:7" x14ac:dyDescent="0.2">
      <c r="F452" s="2"/>
      <c r="G452" s="3"/>
    </row>
    <row r="453" spans="6:7" x14ac:dyDescent="0.2">
      <c r="F453" s="2"/>
      <c r="G453" s="3"/>
    </row>
    <row r="454" spans="6:7" x14ac:dyDescent="0.2">
      <c r="F454" s="2"/>
      <c r="G454" s="3"/>
    </row>
    <row r="455" spans="6:7" x14ac:dyDescent="0.2">
      <c r="F455" s="2"/>
      <c r="G455" s="3"/>
    </row>
    <row r="456" spans="6:7" x14ac:dyDescent="0.2">
      <c r="F456" s="2"/>
      <c r="G456" s="3"/>
    </row>
    <row r="457" spans="6:7" x14ac:dyDescent="0.2">
      <c r="F457" s="2"/>
      <c r="G457" s="3"/>
    </row>
    <row r="458" spans="6:7" x14ac:dyDescent="0.2">
      <c r="F458" s="2"/>
      <c r="G458" s="3"/>
    </row>
    <row r="459" spans="6:7" x14ac:dyDescent="0.2">
      <c r="F459" s="2"/>
      <c r="G459" s="3"/>
    </row>
    <row r="460" spans="6:7" x14ac:dyDescent="0.2">
      <c r="F460" s="2"/>
      <c r="G460" s="3"/>
    </row>
    <row r="461" spans="6:7" x14ac:dyDescent="0.2">
      <c r="F461" s="2"/>
      <c r="G461" s="3"/>
    </row>
    <row r="462" spans="6:7" x14ac:dyDescent="0.2">
      <c r="F462" s="2"/>
      <c r="G462" s="3"/>
    </row>
    <row r="463" spans="6:7" x14ac:dyDescent="0.2">
      <c r="F463" s="2"/>
      <c r="G463" s="3"/>
    </row>
    <row r="464" spans="6:7" x14ac:dyDescent="0.2">
      <c r="F464" s="2"/>
      <c r="G464" s="3"/>
    </row>
    <row r="465" spans="6:7" x14ac:dyDescent="0.2">
      <c r="F465" s="2"/>
      <c r="G465" s="3"/>
    </row>
    <row r="466" spans="6:7" x14ac:dyDescent="0.2">
      <c r="F466" s="2"/>
      <c r="G466" s="3"/>
    </row>
    <row r="467" spans="6:7" x14ac:dyDescent="0.2">
      <c r="F467" s="2"/>
      <c r="G467" s="3"/>
    </row>
    <row r="468" spans="6:7" x14ac:dyDescent="0.2">
      <c r="F468" s="2"/>
      <c r="G468" s="3"/>
    </row>
    <row r="469" spans="6:7" x14ac:dyDescent="0.2">
      <c r="F469" s="2"/>
      <c r="G469" s="3"/>
    </row>
    <row r="470" spans="6:7" x14ac:dyDescent="0.2">
      <c r="F470" s="2"/>
      <c r="G470" s="3"/>
    </row>
    <row r="471" spans="6:7" x14ac:dyDescent="0.2">
      <c r="F471" s="2"/>
      <c r="G471" s="3"/>
    </row>
    <row r="472" spans="6:7" x14ac:dyDescent="0.2">
      <c r="F472" s="2"/>
      <c r="G472" s="3"/>
    </row>
    <row r="473" spans="6:7" x14ac:dyDescent="0.2">
      <c r="F473" s="2"/>
      <c r="G473" s="3"/>
    </row>
    <row r="474" spans="6:7" x14ac:dyDescent="0.2">
      <c r="F474" s="2"/>
      <c r="G474" s="3"/>
    </row>
    <row r="475" spans="6:7" x14ac:dyDescent="0.2">
      <c r="F475" s="2"/>
      <c r="G475" s="3"/>
    </row>
    <row r="476" spans="6:7" x14ac:dyDescent="0.2">
      <c r="F476" s="2"/>
      <c r="G476" s="3"/>
    </row>
    <row r="477" spans="6:7" x14ac:dyDescent="0.2">
      <c r="F477" s="2"/>
      <c r="G477" s="3"/>
    </row>
    <row r="478" spans="6:7" x14ac:dyDescent="0.2">
      <c r="F478" s="2"/>
      <c r="G478" s="3"/>
    </row>
    <row r="479" spans="6:7" x14ac:dyDescent="0.2">
      <c r="F479" s="2"/>
      <c r="G479" s="3"/>
    </row>
    <row r="480" spans="6:7" x14ac:dyDescent="0.2">
      <c r="F480" s="2"/>
      <c r="G480" s="3"/>
    </row>
    <row r="481" spans="6:7" x14ac:dyDescent="0.2">
      <c r="F481" s="2"/>
      <c r="G481" s="3"/>
    </row>
    <row r="482" spans="6:7" x14ac:dyDescent="0.2">
      <c r="F482" s="2"/>
      <c r="G482" s="3"/>
    </row>
    <row r="483" spans="6:7" x14ac:dyDescent="0.2">
      <c r="F483" s="2"/>
      <c r="G483" s="3"/>
    </row>
    <row r="484" spans="6:7" x14ac:dyDescent="0.2">
      <c r="F484" s="2"/>
      <c r="G484" s="3"/>
    </row>
    <row r="485" spans="6:7" x14ac:dyDescent="0.2">
      <c r="F485" s="2"/>
      <c r="G485" s="3"/>
    </row>
    <row r="486" spans="6:7" x14ac:dyDescent="0.2">
      <c r="F486" s="2"/>
      <c r="G486" s="3"/>
    </row>
    <row r="487" spans="6:7" x14ac:dyDescent="0.2">
      <c r="F487" s="2"/>
      <c r="G487" s="3"/>
    </row>
    <row r="488" spans="6:7" x14ac:dyDescent="0.2">
      <c r="F488" s="2"/>
      <c r="G488" s="3"/>
    </row>
    <row r="489" spans="6:7" x14ac:dyDescent="0.2">
      <c r="F489" s="2"/>
      <c r="G489" s="3"/>
    </row>
    <row r="490" spans="6:7" x14ac:dyDescent="0.2">
      <c r="F490" s="2"/>
      <c r="G490" s="3"/>
    </row>
    <row r="491" spans="6:7" x14ac:dyDescent="0.2">
      <c r="F491" s="2"/>
      <c r="G491" s="3"/>
    </row>
    <row r="492" spans="6:7" x14ac:dyDescent="0.2">
      <c r="F492" s="2"/>
      <c r="G492" s="3"/>
    </row>
    <row r="493" spans="6:7" x14ac:dyDescent="0.2">
      <c r="F493" s="2"/>
      <c r="G493" s="3"/>
    </row>
    <row r="494" spans="6:7" x14ac:dyDescent="0.2">
      <c r="F494" s="2"/>
      <c r="G494" s="3"/>
    </row>
    <row r="495" spans="6:7" x14ac:dyDescent="0.2">
      <c r="F495" s="2"/>
      <c r="G495" s="3"/>
    </row>
    <row r="496" spans="6:7" x14ac:dyDescent="0.2">
      <c r="F496" s="2"/>
      <c r="G496" s="3"/>
    </row>
    <row r="497" spans="6:7" x14ac:dyDescent="0.2">
      <c r="F497" s="2"/>
      <c r="G497" s="3"/>
    </row>
    <row r="498" spans="6:7" x14ac:dyDescent="0.2">
      <c r="F498" s="2"/>
      <c r="G498" s="3"/>
    </row>
    <row r="499" spans="6:7" x14ac:dyDescent="0.2">
      <c r="F499" s="2"/>
      <c r="G499" s="3"/>
    </row>
    <row r="500" spans="6:7" x14ac:dyDescent="0.2">
      <c r="F500" s="2"/>
      <c r="G500" s="3"/>
    </row>
    <row r="501" spans="6:7" x14ac:dyDescent="0.2">
      <c r="F501" s="2"/>
      <c r="G501" s="3"/>
    </row>
    <row r="502" spans="6:7" x14ac:dyDescent="0.2">
      <c r="F502" s="2"/>
      <c r="G502" s="3"/>
    </row>
    <row r="503" spans="6:7" x14ac:dyDescent="0.2">
      <c r="F503" s="2"/>
      <c r="G503" s="3"/>
    </row>
    <row r="504" spans="6:7" x14ac:dyDescent="0.2">
      <c r="F504" s="2"/>
      <c r="G504" s="3"/>
    </row>
    <row r="505" spans="6:7" x14ac:dyDescent="0.2">
      <c r="F505" s="2"/>
      <c r="G505" s="3"/>
    </row>
    <row r="506" spans="6:7" x14ac:dyDescent="0.2">
      <c r="F506" s="2"/>
      <c r="G506" s="3"/>
    </row>
    <row r="507" spans="6:7" x14ac:dyDescent="0.2">
      <c r="F507" s="2"/>
      <c r="G507" s="3"/>
    </row>
    <row r="508" spans="6:7" x14ac:dyDescent="0.2">
      <c r="F508" s="2"/>
      <c r="G508" s="3"/>
    </row>
    <row r="509" spans="6:7" x14ac:dyDescent="0.2">
      <c r="F509" s="2"/>
      <c r="G509" s="3"/>
    </row>
    <row r="510" spans="6:7" x14ac:dyDescent="0.2">
      <c r="F510" s="2"/>
      <c r="G510" s="3"/>
    </row>
    <row r="511" spans="6:7" x14ac:dyDescent="0.2">
      <c r="F511" s="2"/>
      <c r="G511" s="3"/>
    </row>
    <row r="512" spans="6:7" x14ac:dyDescent="0.2">
      <c r="F512" s="2"/>
      <c r="G512" s="3"/>
    </row>
    <row r="513" spans="6:7" x14ac:dyDescent="0.2">
      <c r="F513" s="2"/>
      <c r="G513" s="3"/>
    </row>
    <row r="514" spans="6:7" x14ac:dyDescent="0.2">
      <c r="F514" s="2"/>
      <c r="G514" s="3"/>
    </row>
    <row r="515" spans="6:7" x14ac:dyDescent="0.2">
      <c r="F515" s="2"/>
      <c r="G515" s="3"/>
    </row>
    <row r="516" spans="6:7" x14ac:dyDescent="0.2">
      <c r="F516" s="2"/>
      <c r="G516" s="3"/>
    </row>
    <row r="517" spans="6:7" x14ac:dyDescent="0.2">
      <c r="F517" s="2"/>
      <c r="G517" s="3"/>
    </row>
    <row r="518" spans="6:7" x14ac:dyDescent="0.2">
      <c r="F518" s="2"/>
      <c r="G518" s="3"/>
    </row>
    <row r="519" spans="6:7" x14ac:dyDescent="0.2">
      <c r="F519" s="2"/>
      <c r="G519" s="3"/>
    </row>
    <row r="520" spans="6:7" x14ac:dyDescent="0.2">
      <c r="F520" s="2"/>
      <c r="G520" s="3"/>
    </row>
    <row r="521" spans="6:7" x14ac:dyDescent="0.2">
      <c r="F521" s="2"/>
      <c r="G521" s="3"/>
    </row>
    <row r="522" spans="6:7" x14ac:dyDescent="0.2">
      <c r="F522" s="2"/>
      <c r="G522" s="3"/>
    </row>
    <row r="523" spans="6:7" x14ac:dyDescent="0.2">
      <c r="F523" s="2"/>
      <c r="G523" s="3"/>
    </row>
    <row r="524" spans="6:7" x14ac:dyDescent="0.2">
      <c r="F524" s="2"/>
      <c r="G524" s="3"/>
    </row>
    <row r="525" spans="6:7" x14ac:dyDescent="0.2">
      <c r="F525" s="2"/>
      <c r="G525" s="3"/>
    </row>
    <row r="526" spans="6:7" x14ac:dyDescent="0.2">
      <c r="F526" s="2"/>
      <c r="G526" s="3"/>
    </row>
    <row r="527" spans="6:7" x14ac:dyDescent="0.2">
      <c r="F527" s="2"/>
      <c r="G527" s="3"/>
    </row>
    <row r="528" spans="6:7" x14ac:dyDescent="0.2">
      <c r="F528" s="2"/>
      <c r="G528" s="3"/>
    </row>
    <row r="529" spans="6:7" x14ac:dyDescent="0.2">
      <c r="F529" s="2"/>
      <c r="G529" s="3"/>
    </row>
    <row r="530" spans="6:7" x14ac:dyDescent="0.2">
      <c r="F530" s="2"/>
      <c r="G530" s="3"/>
    </row>
    <row r="531" spans="6:7" x14ac:dyDescent="0.2">
      <c r="F531" s="2"/>
      <c r="G531" s="3"/>
    </row>
    <row r="532" spans="6:7" x14ac:dyDescent="0.2">
      <c r="F532" s="2"/>
      <c r="G532" s="3"/>
    </row>
    <row r="533" spans="6:7" x14ac:dyDescent="0.2">
      <c r="F533" s="2"/>
      <c r="G533" s="3"/>
    </row>
    <row r="534" spans="6:7" x14ac:dyDescent="0.2">
      <c r="F534" s="2"/>
      <c r="G534" s="3"/>
    </row>
    <row r="535" spans="6:7" x14ac:dyDescent="0.2">
      <c r="F535" s="2"/>
      <c r="G535" s="3"/>
    </row>
    <row r="536" spans="6:7" x14ac:dyDescent="0.2">
      <c r="F536" s="2"/>
      <c r="G536" s="3"/>
    </row>
    <row r="537" spans="6:7" x14ac:dyDescent="0.2">
      <c r="F537" s="2"/>
      <c r="G537" s="3"/>
    </row>
    <row r="538" spans="6:7" x14ac:dyDescent="0.2">
      <c r="F538" s="2"/>
      <c r="G538" s="3"/>
    </row>
    <row r="539" spans="6:7" x14ac:dyDescent="0.2">
      <c r="F539" s="2"/>
      <c r="G539" s="3"/>
    </row>
    <row r="540" spans="6:7" x14ac:dyDescent="0.2">
      <c r="F540" s="2"/>
      <c r="G540" s="3"/>
    </row>
    <row r="541" spans="6:7" x14ac:dyDescent="0.2">
      <c r="F541" s="2"/>
      <c r="G541" s="3"/>
    </row>
    <row r="542" spans="6:7" x14ac:dyDescent="0.2">
      <c r="F542" s="2"/>
      <c r="G542" s="3"/>
    </row>
    <row r="543" spans="6:7" x14ac:dyDescent="0.2">
      <c r="F543" s="2"/>
      <c r="G543" s="3"/>
    </row>
    <row r="544" spans="6:7" x14ac:dyDescent="0.2">
      <c r="F544" s="2"/>
      <c r="G544" s="3"/>
    </row>
    <row r="545" spans="6:7" x14ac:dyDescent="0.2">
      <c r="F545" s="2"/>
      <c r="G545" s="3"/>
    </row>
    <row r="546" spans="6:7" x14ac:dyDescent="0.2">
      <c r="F546" s="2"/>
      <c r="G546" s="3"/>
    </row>
    <row r="547" spans="6:7" x14ac:dyDescent="0.2">
      <c r="F547" s="2"/>
      <c r="G547" s="3"/>
    </row>
    <row r="548" spans="6:7" x14ac:dyDescent="0.2">
      <c r="F548" s="2"/>
      <c r="G548" s="3"/>
    </row>
    <row r="549" spans="6:7" x14ac:dyDescent="0.2">
      <c r="F549" s="2"/>
      <c r="G549" s="3"/>
    </row>
    <row r="550" spans="6:7" x14ac:dyDescent="0.2">
      <c r="F550" s="2"/>
      <c r="G550" s="3"/>
    </row>
    <row r="551" spans="6:7" x14ac:dyDescent="0.2">
      <c r="F551" s="2"/>
      <c r="G551" s="3"/>
    </row>
    <row r="552" spans="6:7" x14ac:dyDescent="0.2">
      <c r="F552" s="2"/>
      <c r="G552" s="3"/>
    </row>
    <row r="553" spans="6:7" x14ac:dyDescent="0.2">
      <c r="F553" s="2"/>
      <c r="G553" s="3"/>
    </row>
    <row r="554" spans="6:7" x14ac:dyDescent="0.2">
      <c r="F554" s="2"/>
      <c r="G554" s="3"/>
    </row>
    <row r="555" spans="6:7" x14ac:dyDescent="0.2">
      <c r="F555" s="2"/>
      <c r="G555" s="3"/>
    </row>
    <row r="556" spans="6:7" x14ac:dyDescent="0.2">
      <c r="F556" s="2"/>
      <c r="G556" s="3"/>
    </row>
    <row r="557" spans="6:7" x14ac:dyDescent="0.2">
      <c r="F557" s="2"/>
      <c r="G557" s="3"/>
    </row>
    <row r="558" spans="6:7" x14ac:dyDescent="0.2">
      <c r="F558" s="2"/>
      <c r="G558" s="3"/>
    </row>
    <row r="559" spans="6:7" x14ac:dyDescent="0.2">
      <c r="F559" s="2"/>
      <c r="G559" s="3"/>
    </row>
    <row r="560" spans="6:7" x14ac:dyDescent="0.2">
      <c r="F560" s="2"/>
      <c r="G560" s="3"/>
    </row>
    <row r="561" spans="6:7" x14ac:dyDescent="0.2">
      <c r="F561" s="2"/>
      <c r="G561" s="3"/>
    </row>
    <row r="562" spans="6:7" x14ac:dyDescent="0.2">
      <c r="F562" s="2"/>
      <c r="G562" s="3"/>
    </row>
    <row r="563" spans="6:7" x14ac:dyDescent="0.2">
      <c r="F563" s="2"/>
      <c r="G563" s="3"/>
    </row>
    <row r="564" spans="6:7" x14ac:dyDescent="0.2">
      <c r="F564" s="2"/>
      <c r="G564" s="3"/>
    </row>
    <row r="565" spans="6:7" x14ac:dyDescent="0.2">
      <c r="F565" s="2"/>
      <c r="G565" s="3"/>
    </row>
    <row r="566" spans="6:7" x14ac:dyDescent="0.2">
      <c r="F566" s="2"/>
      <c r="G566" s="3"/>
    </row>
    <row r="567" spans="6:7" x14ac:dyDescent="0.2">
      <c r="F567" s="2"/>
      <c r="G567" s="3"/>
    </row>
    <row r="568" spans="6:7" x14ac:dyDescent="0.2">
      <c r="F568" s="2"/>
      <c r="G568" s="3"/>
    </row>
    <row r="569" spans="6:7" x14ac:dyDescent="0.2">
      <c r="F569" s="2"/>
      <c r="G569" s="3"/>
    </row>
    <row r="570" spans="6:7" x14ac:dyDescent="0.2">
      <c r="F570" s="2"/>
      <c r="G570" s="3"/>
    </row>
    <row r="571" spans="6:7" x14ac:dyDescent="0.2">
      <c r="F571" s="2"/>
      <c r="G571" s="3"/>
    </row>
    <row r="572" spans="6:7" x14ac:dyDescent="0.2">
      <c r="F572" s="2"/>
      <c r="G572" s="3"/>
    </row>
    <row r="573" spans="6:7" x14ac:dyDescent="0.2">
      <c r="F573" s="2"/>
      <c r="G573" s="3"/>
    </row>
    <row r="574" spans="6:7" x14ac:dyDescent="0.2">
      <c r="F574" s="2"/>
      <c r="G574" s="3"/>
    </row>
    <row r="575" spans="6:7" x14ac:dyDescent="0.2">
      <c r="F575" s="2"/>
      <c r="G575" s="3"/>
    </row>
    <row r="576" spans="6:7" x14ac:dyDescent="0.2">
      <c r="F576" s="2"/>
      <c r="G576" s="3"/>
    </row>
    <row r="577" spans="6:7" x14ac:dyDescent="0.2">
      <c r="F577" s="2"/>
      <c r="G577" s="3"/>
    </row>
    <row r="578" spans="6:7" x14ac:dyDescent="0.2">
      <c r="F578" s="2"/>
      <c r="G578" s="3"/>
    </row>
    <row r="579" spans="6:7" x14ac:dyDescent="0.2">
      <c r="F579" s="2"/>
      <c r="G579" s="3"/>
    </row>
    <row r="580" spans="6:7" x14ac:dyDescent="0.2">
      <c r="F580" s="2"/>
      <c r="G580" s="3"/>
    </row>
    <row r="581" spans="6:7" x14ac:dyDescent="0.2">
      <c r="F581" s="2"/>
      <c r="G581" s="3"/>
    </row>
    <row r="582" spans="6:7" x14ac:dyDescent="0.2">
      <c r="F582" s="2"/>
      <c r="G582" s="3"/>
    </row>
    <row r="583" spans="6:7" x14ac:dyDescent="0.2">
      <c r="F583" s="2"/>
      <c r="G583" s="3"/>
    </row>
    <row r="584" spans="6:7" x14ac:dyDescent="0.2">
      <c r="F584" s="2"/>
      <c r="G584" s="3"/>
    </row>
    <row r="585" spans="6:7" x14ac:dyDescent="0.2">
      <c r="F585" s="2"/>
      <c r="G585" s="3"/>
    </row>
    <row r="586" spans="6:7" x14ac:dyDescent="0.2">
      <c r="F586" s="2"/>
      <c r="G586" s="3"/>
    </row>
    <row r="587" spans="6:7" x14ac:dyDescent="0.2">
      <c r="F587" s="2"/>
      <c r="G587" s="3"/>
    </row>
    <row r="588" spans="6:7" x14ac:dyDescent="0.2">
      <c r="F588" s="2"/>
      <c r="G588" s="3"/>
    </row>
    <row r="589" spans="6:7" x14ac:dyDescent="0.2">
      <c r="F589" s="2"/>
      <c r="G589" s="3"/>
    </row>
    <row r="590" spans="6:7" x14ac:dyDescent="0.2">
      <c r="F590" s="2"/>
      <c r="G590" s="3"/>
    </row>
    <row r="591" spans="6:7" x14ac:dyDescent="0.2">
      <c r="F591" s="2"/>
      <c r="G591" s="3"/>
    </row>
    <row r="592" spans="6:7" x14ac:dyDescent="0.2">
      <c r="F592" s="2"/>
      <c r="G592" s="3"/>
    </row>
    <row r="593" spans="6:7" x14ac:dyDescent="0.2">
      <c r="F593" s="2"/>
      <c r="G593" s="3"/>
    </row>
    <row r="594" spans="6:7" x14ac:dyDescent="0.2">
      <c r="F594" s="2"/>
      <c r="G594" s="3"/>
    </row>
    <row r="595" spans="6:7" x14ac:dyDescent="0.2">
      <c r="F595" s="2"/>
      <c r="G595" s="3"/>
    </row>
    <row r="596" spans="6:7" x14ac:dyDescent="0.2">
      <c r="F596" s="2"/>
      <c r="G596" s="3"/>
    </row>
    <row r="597" spans="6:7" x14ac:dyDescent="0.2">
      <c r="F597" s="2"/>
      <c r="G597" s="3"/>
    </row>
    <row r="598" spans="6:7" x14ac:dyDescent="0.2">
      <c r="F598" s="2"/>
      <c r="G598" s="3"/>
    </row>
    <row r="599" spans="6:7" x14ac:dyDescent="0.2">
      <c r="F599" s="2"/>
      <c r="G599" s="3"/>
    </row>
    <row r="600" spans="6:7" x14ac:dyDescent="0.2">
      <c r="F600" s="2"/>
      <c r="G600" s="3"/>
    </row>
    <row r="601" spans="6:7" x14ac:dyDescent="0.2">
      <c r="F601" s="2"/>
      <c r="G601" s="3"/>
    </row>
    <row r="602" spans="6:7" x14ac:dyDescent="0.2">
      <c r="F602" s="2"/>
      <c r="G602" s="3"/>
    </row>
    <row r="603" spans="6:7" x14ac:dyDescent="0.2">
      <c r="F603" s="2"/>
      <c r="G603" s="3"/>
    </row>
    <row r="604" spans="6:7" x14ac:dyDescent="0.2">
      <c r="F604" s="2"/>
      <c r="G604" s="3"/>
    </row>
    <row r="605" spans="6:7" x14ac:dyDescent="0.2">
      <c r="F605" s="2"/>
      <c r="G605" s="3"/>
    </row>
    <row r="606" spans="6:7" x14ac:dyDescent="0.2">
      <c r="F606" s="2"/>
      <c r="G606" s="3"/>
    </row>
    <row r="607" spans="6:7" x14ac:dyDescent="0.2">
      <c r="F607" s="2"/>
      <c r="G607" s="3"/>
    </row>
    <row r="608" spans="6:7" x14ac:dyDescent="0.2">
      <c r="F608" s="2"/>
      <c r="G608" s="3"/>
    </row>
    <row r="609" spans="6:7" x14ac:dyDescent="0.2">
      <c r="F609" s="2"/>
      <c r="G609" s="3"/>
    </row>
    <row r="610" spans="6:7" x14ac:dyDescent="0.2">
      <c r="F610" s="2"/>
      <c r="G610" s="3"/>
    </row>
    <row r="611" spans="6:7" x14ac:dyDescent="0.2">
      <c r="F611" s="2"/>
      <c r="G611" s="3"/>
    </row>
    <row r="612" spans="6:7" x14ac:dyDescent="0.2">
      <c r="F612" s="2"/>
      <c r="G612" s="3"/>
    </row>
    <row r="613" spans="6:7" x14ac:dyDescent="0.2">
      <c r="F613" s="2"/>
      <c r="G613" s="3"/>
    </row>
    <row r="614" spans="6:7" x14ac:dyDescent="0.2">
      <c r="F614" s="2"/>
      <c r="G614" s="3"/>
    </row>
    <row r="615" spans="6:7" x14ac:dyDescent="0.2">
      <c r="F615" s="2"/>
      <c r="G615" s="3"/>
    </row>
    <row r="616" spans="6:7" x14ac:dyDescent="0.2">
      <c r="F616" s="2"/>
      <c r="G616" s="3"/>
    </row>
    <row r="617" spans="6:7" x14ac:dyDescent="0.2">
      <c r="F617" s="2"/>
      <c r="G617" s="3"/>
    </row>
    <row r="618" spans="6:7" x14ac:dyDescent="0.2">
      <c r="F618" s="2"/>
      <c r="G618" s="3"/>
    </row>
    <row r="619" spans="6:7" x14ac:dyDescent="0.2">
      <c r="F619" s="2"/>
      <c r="G619" s="3"/>
    </row>
    <row r="620" spans="6:7" x14ac:dyDescent="0.2">
      <c r="F620" s="2"/>
      <c r="G620" s="3"/>
    </row>
    <row r="621" spans="6:7" x14ac:dyDescent="0.2">
      <c r="F621" s="2"/>
      <c r="G621" s="3"/>
    </row>
    <row r="622" spans="6:7" x14ac:dyDescent="0.2">
      <c r="F622" s="2"/>
      <c r="G622" s="3"/>
    </row>
    <row r="623" spans="6:7" x14ac:dyDescent="0.2">
      <c r="F623" s="2"/>
      <c r="G623" s="3"/>
    </row>
    <row r="624" spans="6:7" x14ac:dyDescent="0.2">
      <c r="F624" s="2"/>
      <c r="G624" s="3"/>
    </row>
    <row r="625" spans="6:7" x14ac:dyDescent="0.2">
      <c r="F625" s="2"/>
      <c r="G625" s="3"/>
    </row>
    <row r="626" spans="6:7" x14ac:dyDescent="0.2">
      <c r="F626" s="2"/>
      <c r="G626" s="3"/>
    </row>
    <row r="627" spans="6:7" x14ac:dyDescent="0.2">
      <c r="F627" s="2"/>
      <c r="G627" s="3"/>
    </row>
    <row r="628" spans="6:7" x14ac:dyDescent="0.2">
      <c r="F628" s="2"/>
      <c r="G628" s="3"/>
    </row>
    <row r="629" spans="6:7" x14ac:dyDescent="0.2">
      <c r="F629" s="2"/>
      <c r="G629" s="3"/>
    </row>
    <row r="630" spans="6:7" x14ac:dyDescent="0.2">
      <c r="F630" s="2"/>
      <c r="G630" s="3"/>
    </row>
    <row r="631" spans="6:7" x14ac:dyDescent="0.2">
      <c r="F631" s="2"/>
      <c r="G631" s="3"/>
    </row>
    <row r="632" spans="6:7" x14ac:dyDescent="0.2">
      <c r="F632" s="2"/>
      <c r="G632" s="3"/>
    </row>
    <row r="633" spans="6:7" x14ac:dyDescent="0.2">
      <c r="F633" s="2"/>
      <c r="G633" s="3"/>
    </row>
    <row r="634" spans="6:7" x14ac:dyDescent="0.2">
      <c r="F634" s="2"/>
      <c r="G634" s="3"/>
    </row>
    <row r="635" spans="6:7" x14ac:dyDescent="0.2">
      <c r="F635" s="2"/>
      <c r="G635" s="3"/>
    </row>
    <row r="636" spans="6:7" x14ac:dyDescent="0.2">
      <c r="F636" s="2"/>
      <c r="G636" s="3"/>
    </row>
    <row r="637" spans="6:7" x14ac:dyDescent="0.2">
      <c r="F637" s="2"/>
      <c r="G637" s="3"/>
    </row>
    <row r="638" spans="6:7" x14ac:dyDescent="0.2">
      <c r="F638" s="2"/>
      <c r="G638" s="3"/>
    </row>
    <row r="639" spans="6:7" x14ac:dyDescent="0.2">
      <c r="F639" s="2"/>
      <c r="G639" s="3"/>
    </row>
    <row r="640" spans="6:7" x14ac:dyDescent="0.2">
      <c r="F640" s="2"/>
      <c r="G640" s="3"/>
    </row>
    <row r="641" spans="6:7" x14ac:dyDescent="0.2">
      <c r="F641" s="2"/>
      <c r="G641" s="3"/>
    </row>
    <row r="642" spans="6:7" x14ac:dyDescent="0.2">
      <c r="F642" s="2"/>
      <c r="G642" s="3"/>
    </row>
    <row r="643" spans="6:7" x14ac:dyDescent="0.2">
      <c r="F643" s="2"/>
      <c r="G643" s="3"/>
    </row>
    <row r="644" spans="6:7" x14ac:dyDescent="0.2">
      <c r="F644" s="2"/>
      <c r="G644" s="3"/>
    </row>
    <row r="645" spans="6:7" x14ac:dyDescent="0.2">
      <c r="F645" s="2"/>
      <c r="G645" s="3"/>
    </row>
    <row r="646" spans="6:7" x14ac:dyDescent="0.2">
      <c r="F646" s="2"/>
      <c r="G646" s="3"/>
    </row>
    <row r="647" spans="6:7" x14ac:dyDescent="0.2">
      <c r="F647" s="2"/>
      <c r="G647" s="3"/>
    </row>
    <row r="648" spans="6:7" x14ac:dyDescent="0.2">
      <c r="F648" s="2"/>
      <c r="G648" s="3"/>
    </row>
    <row r="649" spans="6:7" x14ac:dyDescent="0.2">
      <c r="F649" s="2"/>
      <c r="G649" s="3"/>
    </row>
    <row r="650" spans="6:7" x14ac:dyDescent="0.2">
      <c r="F650" s="2"/>
      <c r="G650" s="3"/>
    </row>
    <row r="651" spans="6:7" x14ac:dyDescent="0.2">
      <c r="F651" s="2"/>
      <c r="G651" s="3"/>
    </row>
    <row r="652" spans="6:7" x14ac:dyDescent="0.2">
      <c r="F652" s="2"/>
      <c r="G652" s="3"/>
    </row>
    <row r="653" spans="6:7" x14ac:dyDescent="0.2">
      <c r="F653" s="2"/>
      <c r="G653" s="3"/>
    </row>
    <row r="654" spans="6:7" x14ac:dyDescent="0.2">
      <c r="F654" s="2"/>
      <c r="G654" s="3"/>
    </row>
    <row r="655" spans="6:7" x14ac:dyDescent="0.2">
      <c r="F655" s="2"/>
      <c r="G655"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8D70-A8B4-BF44-BC8D-9E4D80BF9C7C}">
  <dimension ref="B1:D11"/>
  <sheetViews>
    <sheetView showGridLines="0" workbookViewId="0">
      <selection activeCell="E17" sqref="E17"/>
    </sheetView>
  </sheetViews>
  <sheetFormatPr baseColWidth="10" defaultRowHeight="15" x14ac:dyDescent="0.2"/>
  <cols>
    <col min="2" max="2" width="14.33203125" bestFit="1" customWidth="1"/>
  </cols>
  <sheetData>
    <row r="1" spans="2:4" ht="27" customHeight="1" x14ac:dyDescent="0.25">
      <c r="B1" s="55" t="s">
        <v>63</v>
      </c>
      <c r="C1" s="55"/>
      <c r="D1" s="55"/>
    </row>
    <row r="3" spans="2:4" ht="19" x14ac:dyDescent="0.25">
      <c r="B3" s="10"/>
      <c r="C3" s="14" t="s">
        <v>1</v>
      </c>
      <c r="D3" s="14" t="s">
        <v>49</v>
      </c>
    </row>
    <row r="4" spans="2:4" ht="19" x14ac:dyDescent="0.25">
      <c r="B4" s="14" t="s">
        <v>55</v>
      </c>
      <c r="C4" s="11">
        <f>AVERAGE(Data[Amount])</f>
        <v>4132.3177257525085</v>
      </c>
      <c r="D4" s="11">
        <f>AVERAGE(Data[Units])</f>
        <v>152.70903010033445</v>
      </c>
    </row>
    <row r="5" spans="2:4" ht="19" x14ac:dyDescent="0.25">
      <c r="B5" s="14" t="s">
        <v>56</v>
      </c>
      <c r="C5" s="11">
        <f>MEDIAN(Data[Amount])</f>
        <v>3402</v>
      </c>
      <c r="D5" s="11">
        <f>MEDIAN(Data[Units])</f>
        <v>126</v>
      </c>
    </row>
    <row r="6" spans="2:4" ht="19" x14ac:dyDescent="0.25">
      <c r="B6" s="14" t="s">
        <v>62</v>
      </c>
      <c r="C6" s="11">
        <f>COUNT(_xlfn.UNIQUE(Data[Amount]))</f>
        <v>267</v>
      </c>
      <c r="D6" s="11">
        <f>COUNT(_xlfn.UNIQUE(Data[Units]))</f>
        <v>119</v>
      </c>
    </row>
    <row r="7" spans="2:4" ht="19" x14ac:dyDescent="0.25">
      <c r="B7" s="14" t="s">
        <v>57</v>
      </c>
      <c r="C7" s="11">
        <f>MAX(Data[Amount])</f>
        <v>16184</v>
      </c>
      <c r="D7" s="11">
        <f>MAX(Data[Units])</f>
        <v>525</v>
      </c>
    </row>
    <row r="8" spans="2:4" ht="19" x14ac:dyDescent="0.25">
      <c r="B8" s="14" t="s">
        <v>58</v>
      </c>
      <c r="C8" s="11">
        <f>MIN(Data[Amount])</f>
        <v>0</v>
      </c>
      <c r="D8" s="11">
        <f>MIN(Data[Units])</f>
        <v>3</v>
      </c>
    </row>
    <row r="9" spans="2:4" ht="19" x14ac:dyDescent="0.25">
      <c r="B9" s="14" t="s">
        <v>59</v>
      </c>
      <c r="C9" s="11">
        <f>C7-C8</f>
        <v>16184</v>
      </c>
      <c r="D9" s="11">
        <f>D7-D8</f>
        <v>522</v>
      </c>
    </row>
    <row r="10" spans="2:4" ht="19" x14ac:dyDescent="0.25">
      <c r="B10" s="14" t="s">
        <v>60</v>
      </c>
      <c r="C10" s="11">
        <f>_xlfn.PERCENTILE.EXC(Data[Amount],0.25)</f>
        <v>1652</v>
      </c>
      <c r="D10" s="11">
        <f>_xlfn.PERCENTILE.EXC(Data[Units],0.25)</f>
        <v>54</v>
      </c>
    </row>
    <row r="11" spans="2:4" ht="19" x14ac:dyDescent="0.25">
      <c r="B11" s="14" t="s">
        <v>61</v>
      </c>
      <c r="C11" s="11">
        <f>_xlfn.PERCENTILE.EXC(Data[Amount],0.75)</f>
        <v>6279</v>
      </c>
      <c r="D11" s="11">
        <f>_xlfn.PERCENTILE.EXC(Data[Units],0.75)</f>
        <v>225</v>
      </c>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C8D6-8DDF-7041-9197-B5BE4D7670AB}">
  <dimension ref="A1:E303"/>
  <sheetViews>
    <sheetView topLeftCell="A12" workbookViewId="0">
      <selection activeCell="I11" sqref="I11"/>
    </sheetView>
  </sheetViews>
  <sheetFormatPr baseColWidth="10" defaultRowHeight="15" x14ac:dyDescent="0.2"/>
  <cols>
    <col min="1" max="1" width="14.1640625" bestFit="1" customWidth="1"/>
    <col min="2" max="2" width="10.6640625" bestFit="1" customWidth="1"/>
    <col min="3" max="3" width="18.83203125" bestFit="1" customWidth="1"/>
    <col min="5" max="5" width="14" customWidth="1"/>
    <col min="11" max="11" width="17.33203125" customWidth="1"/>
  </cols>
  <sheetData>
    <row r="1" spans="1:5" s="21" customFormat="1" ht="19" x14ac:dyDescent="0.25">
      <c r="A1" s="56" t="s">
        <v>64</v>
      </c>
      <c r="B1" s="56"/>
      <c r="C1" s="56"/>
      <c r="D1" s="56"/>
      <c r="E1" s="56"/>
    </row>
    <row r="2" spans="1:5" s="21" customFormat="1" ht="9" customHeight="1" x14ac:dyDescent="0.25">
      <c r="A2" s="13"/>
      <c r="B2" s="13"/>
      <c r="C2" s="13"/>
      <c r="D2" s="13"/>
      <c r="E2" s="13"/>
    </row>
    <row r="3" spans="1:5" x14ac:dyDescent="0.2">
      <c r="A3" s="4" t="s">
        <v>11</v>
      </c>
      <c r="B3" s="4" t="s">
        <v>12</v>
      </c>
      <c r="C3" s="4" t="s">
        <v>0</v>
      </c>
      <c r="D3" s="8" t="s">
        <v>1</v>
      </c>
      <c r="E3" s="8" t="s">
        <v>49</v>
      </c>
    </row>
    <row r="4" spans="1:5" x14ac:dyDescent="0.2">
      <c r="A4" t="s">
        <v>5</v>
      </c>
      <c r="B4" t="s">
        <v>34</v>
      </c>
      <c r="C4" t="s">
        <v>20</v>
      </c>
      <c r="D4" s="2">
        <v>15610</v>
      </c>
      <c r="E4" s="3">
        <v>339</v>
      </c>
    </row>
    <row r="5" spans="1:5" x14ac:dyDescent="0.2">
      <c r="A5" t="s">
        <v>41</v>
      </c>
      <c r="B5" t="s">
        <v>36</v>
      </c>
      <c r="C5" t="s">
        <v>13</v>
      </c>
      <c r="D5" s="2">
        <v>10311</v>
      </c>
      <c r="E5" s="3">
        <v>231</v>
      </c>
    </row>
    <row r="6" spans="1:5" x14ac:dyDescent="0.2">
      <c r="A6" t="s">
        <v>5</v>
      </c>
      <c r="B6" t="s">
        <v>36</v>
      </c>
      <c r="C6" t="s">
        <v>16</v>
      </c>
      <c r="D6" s="2">
        <v>16184</v>
      </c>
      <c r="E6" s="3">
        <v>39</v>
      </c>
    </row>
    <row r="7" spans="1:5" x14ac:dyDescent="0.2">
      <c r="A7" t="s">
        <v>9</v>
      </c>
      <c r="B7" t="s">
        <v>34</v>
      </c>
      <c r="C7" t="s">
        <v>28</v>
      </c>
      <c r="D7" s="2">
        <v>14329</v>
      </c>
      <c r="E7" s="3">
        <v>150</v>
      </c>
    </row>
    <row r="8" spans="1:5" x14ac:dyDescent="0.2">
      <c r="A8" t="s">
        <v>5</v>
      </c>
      <c r="B8" t="s">
        <v>35</v>
      </c>
      <c r="C8" t="s">
        <v>15</v>
      </c>
      <c r="D8" s="2">
        <v>13391</v>
      </c>
      <c r="E8" s="3">
        <v>201</v>
      </c>
    </row>
    <row r="9" spans="1:5" x14ac:dyDescent="0.2">
      <c r="A9" t="s">
        <v>40</v>
      </c>
      <c r="B9" t="s">
        <v>35</v>
      </c>
      <c r="C9" t="s">
        <v>32</v>
      </c>
      <c r="D9" s="2">
        <v>12348</v>
      </c>
      <c r="E9" s="3">
        <v>234</v>
      </c>
    </row>
    <row r="10" spans="1:5" x14ac:dyDescent="0.2">
      <c r="A10" t="s">
        <v>2</v>
      </c>
      <c r="B10" t="s">
        <v>36</v>
      </c>
      <c r="C10" t="s">
        <v>16</v>
      </c>
      <c r="D10" s="2">
        <v>11417</v>
      </c>
      <c r="E10" s="3">
        <v>21</v>
      </c>
    </row>
    <row r="11" spans="1:5" x14ac:dyDescent="0.2">
      <c r="A11" t="s">
        <v>2</v>
      </c>
      <c r="B11" t="s">
        <v>37</v>
      </c>
      <c r="C11" t="s">
        <v>18</v>
      </c>
      <c r="D11" s="2">
        <v>11571</v>
      </c>
      <c r="E11" s="3">
        <v>138</v>
      </c>
    </row>
    <row r="12" spans="1:5" x14ac:dyDescent="0.2">
      <c r="A12" t="s">
        <v>10</v>
      </c>
      <c r="B12" t="s">
        <v>39</v>
      </c>
      <c r="C12" t="s">
        <v>33</v>
      </c>
      <c r="D12" s="2">
        <v>12950</v>
      </c>
      <c r="E12" s="3">
        <v>30</v>
      </c>
    </row>
    <row r="13" spans="1:5" x14ac:dyDescent="0.2">
      <c r="A13" t="s">
        <v>9</v>
      </c>
      <c r="B13" t="s">
        <v>36</v>
      </c>
      <c r="C13" t="s">
        <v>27</v>
      </c>
      <c r="D13" s="2">
        <v>11522</v>
      </c>
      <c r="E13" s="3">
        <v>204</v>
      </c>
    </row>
    <row r="14" spans="1:5" x14ac:dyDescent="0.2">
      <c r="A14" t="s">
        <v>8</v>
      </c>
      <c r="B14" t="s">
        <v>35</v>
      </c>
      <c r="C14" t="s">
        <v>32</v>
      </c>
      <c r="D14" s="2">
        <v>6706</v>
      </c>
      <c r="E14" s="3">
        <v>459</v>
      </c>
    </row>
    <row r="15" spans="1:5" x14ac:dyDescent="0.2">
      <c r="A15" t="s">
        <v>41</v>
      </c>
      <c r="B15" t="s">
        <v>36</v>
      </c>
      <c r="C15" t="s">
        <v>18</v>
      </c>
      <c r="D15" s="2">
        <v>9632</v>
      </c>
      <c r="E15" s="3">
        <v>288</v>
      </c>
    </row>
    <row r="16" spans="1:5" x14ac:dyDescent="0.2">
      <c r="A16" t="s">
        <v>40</v>
      </c>
      <c r="B16" t="s">
        <v>35</v>
      </c>
      <c r="C16" t="s">
        <v>33</v>
      </c>
      <c r="D16" s="2">
        <v>8869</v>
      </c>
      <c r="E16" s="3">
        <v>432</v>
      </c>
    </row>
    <row r="17" spans="1:5" x14ac:dyDescent="0.2">
      <c r="A17" t="s">
        <v>8</v>
      </c>
      <c r="B17" t="s">
        <v>35</v>
      </c>
      <c r="C17" t="s">
        <v>22</v>
      </c>
      <c r="D17" s="2">
        <v>5012</v>
      </c>
      <c r="E17" s="3">
        <v>210</v>
      </c>
    </row>
    <row r="18" spans="1:5" x14ac:dyDescent="0.2">
      <c r="A18" t="s">
        <v>5</v>
      </c>
      <c r="B18" t="s">
        <v>37</v>
      </c>
      <c r="C18" t="s">
        <v>14</v>
      </c>
      <c r="D18" s="2">
        <v>4991</v>
      </c>
      <c r="E18" s="3">
        <v>12</v>
      </c>
    </row>
    <row r="19" spans="1:5" x14ac:dyDescent="0.2">
      <c r="A19" t="s">
        <v>6</v>
      </c>
      <c r="B19" t="s">
        <v>37</v>
      </c>
      <c r="C19" t="s">
        <v>31</v>
      </c>
      <c r="D19" s="2">
        <v>7693</v>
      </c>
      <c r="E19" s="3">
        <v>87</v>
      </c>
    </row>
    <row r="20" spans="1:5" x14ac:dyDescent="0.2">
      <c r="A20" t="s">
        <v>2</v>
      </c>
      <c r="B20" t="s">
        <v>39</v>
      </c>
      <c r="C20" t="s">
        <v>20</v>
      </c>
      <c r="D20" s="2">
        <v>9443</v>
      </c>
      <c r="E20" s="3">
        <v>162</v>
      </c>
    </row>
    <row r="21" spans="1:5" x14ac:dyDescent="0.2">
      <c r="A21" t="s">
        <v>9</v>
      </c>
      <c r="B21" t="s">
        <v>34</v>
      </c>
      <c r="C21" t="s">
        <v>23</v>
      </c>
      <c r="D21" s="2">
        <v>8155</v>
      </c>
      <c r="E21" s="3">
        <v>90</v>
      </c>
    </row>
    <row r="22" spans="1:5" x14ac:dyDescent="0.2">
      <c r="A22" t="s">
        <v>5</v>
      </c>
      <c r="B22" t="s">
        <v>36</v>
      </c>
      <c r="C22" t="s">
        <v>23</v>
      </c>
      <c r="D22" s="2">
        <v>6314</v>
      </c>
      <c r="E22" s="3">
        <v>15</v>
      </c>
    </row>
    <row r="23" spans="1:5" x14ac:dyDescent="0.2">
      <c r="A23" t="s">
        <v>10</v>
      </c>
      <c r="B23" t="s">
        <v>37</v>
      </c>
      <c r="C23" t="s">
        <v>23</v>
      </c>
      <c r="D23" s="2">
        <v>4683</v>
      </c>
      <c r="E23" s="3">
        <v>30</v>
      </c>
    </row>
    <row r="24" spans="1:5" x14ac:dyDescent="0.2">
      <c r="A24" t="s">
        <v>41</v>
      </c>
      <c r="B24" t="s">
        <v>37</v>
      </c>
      <c r="C24" t="s">
        <v>24</v>
      </c>
      <c r="D24" s="2">
        <v>6398</v>
      </c>
      <c r="E24" s="3">
        <v>102</v>
      </c>
    </row>
    <row r="25" spans="1:5" x14ac:dyDescent="0.2">
      <c r="A25" t="s">
        <v>8</v>
      </c>
      <c r="B25" t="s">
        <v>39</v>
      </c>
      <c r="C25" t="s">
        <v>30</v>
      </c>
      <c r="D25" s="2">
        <v>7021</v>
      </c>
      <c r="E25" s="3">
        <v>183</v>
      </c>
    </row>
    <row r="26" spans="1:5" x14ac:dyDescent="0.2">
      <c r="A26" t="s">
        <v>40</v>
      </c>
      <c r="B26" t="s">
        <v>39</v>
      </c>
      <c r="C26" t="s">
        <v>22</v>
      </c>
      <c r="D26" s="2">
        <v>5817</v>
      </c>
      <c r="E26" s="3">
        <v>12</v>
      </c>
    </row>
    <row r="27" spans="1:5" x14ac:dyDescent="0.2">
      <c r="A27" t="s">
        <v>2</v>
      </c>
      <c r="B27" t="s">
        <v>39</v>
      </c>
      <c r="C27" t="s">
        <v>28</v>
      </c>
      <c r="D27" s="2">
        <v>6027</v>
      </c>
      <c r="E27" s="3">
        <v>144</v>
      </c>
    </row>
    <row r="28" spans="1:5" x14ac:dyDescent="0.2">
      <c r="A28" t="s">
        <v>5</v>
      </c>
      <c r="B28" t="s">
        <v>34</v>
      </c>
      <c r="C28" t="s">
        <v>27</v>
      </c>
      <c r="D28" s="2">
        <v>6986</v>
      </c>
      <c r="E28" s="3">
        <v>21</v>
      </c>
    </row>
    <row r="29" spans="1:5" x14ac:dyDescent="0.2">
      <c r="A29" t="s">
        <v>2</v>
      </c>
      <c r="B29" t="s">
        <v>38</v>
      </c>
      <c r="C29" t="s">
        <v>23</v>
      </c>
      <c r="D29" s="2">
        <v>4417</v>
      </c>
      <c r="E29" s="3">
        <v>153</v>
      </c>
    </row>
    <row r="30" spans="1:5" x14ac:dyDescent="0.2">
      <c r="A30" t="s">
        <v>6</v>
      </c>
      <c r="B30" t="s">
        <v>37</v>
      </c>
      <c r="C30" t="s">
        <v>23</v>
      </c>
      <c r="D30" s="2">
        <v>4949</v>
      </c>
      <c r="E30" s="3">
        <v>189</v>
      </c>
    </row>
    <row r="31" spans="1:5" x14ac:dyDescent="0.2">
      <c r="A31" t="s">
        <v>5</v>
      </c>
      <c r="B31" t="s">
        <v>38</v>
      </c>
      <c r="C31" t="s">
        <v>32</v>
      </c>
      <c r="D31" s="2">
        <v>5075</v>
      </c>
      <c r="E31" s="3">
        <v>21</v>
      </c>
    </row>
    <row r="32" spans="1:5" x14ac:dyDescent="0.2">
      <c r="A32" t="s">
        <v>3</v>
      </c>
      <c r="B32" t="s">
        <v>36</v>
      </c>
      <c r="C32" t="s">
        <v>16</v>
      </c>
      <c r="D32" s="2">
        <v>9198</v>
      </c>
      <c r="E32" s="3">
        <v>36</v>
      </c>
    </row>
    <row r="33" spans="1:5" x14ac:dyDescent="0.2">
      <c r="A33" t="s">
        <v>40</v>
      </c>
      <c r="B33" t="s">
        <v>34</v>
      </c>
      <c r="C33" t="s">
        <v>17</v>
      </c>
      <c r="D33" s="2">
        <v>5019</v>
      </c>
      <c r="E33" s="3">
        <v>156</v>
      </c>
    </row>
    <row r="34" spans="1:5" x14ac:dyDescent="0.2">
      <c r="A34" t="s">
        <v>2</v>
      </c>
      <c r="B34" t="s">
        <v>36</v>
      </c>
      <c r="C34" t="s">
        <v>29</v>
      </c>
      <c r="D34" s="2">
        <v>8211</v>
      </c>
      <c r="E34" s="3">
        <v>75</v>
      </c>
    </row>
    <row r="35" spans="1:5" x14ac:dyDescent="0.2">
      <c r="A35" t="s">
        <v>2</v>
      </c>
      <c r="B35" t="s">
        <v>38</v>
      </c>
      <c r="C35" t="s">
        <v>28</v>
      </c>
      <c r="D35" s="2">
        <v>6580</v>
      </c>
      <c r="E35" s="3">
        <v>183</v>
      </c>
    </row>
    <row r="36" spans="1:5" x14ac:dyDescent="0.2">
      <c r="A36" t="s">
        <v>41</v>
      </c>
      <c r="B36" t="s">
        <v>35</v>
      </c>
      <c r="C36" t="s">
        <v>13</v>
      </c>
      <c r="D36" s="2">
        <v>4760</v>
      </c>
      <c r="E36" s="3">
        <v>69</v>
      </c>
    </row>
    <row r="37" spans="1:5" x14ac:dyDescent="0.2">
      <c r="A37" t="s">
        <v>40</v>
      </c>
      <c r="B37" t="s">
        <v>36</v>
      </c>
      <c r="C37" t="s">
        <v>25</v>
      </c>
      <c r="D37" s="2">
        <v>5439</v>
      </c>
      <c r="E37" s="3">
        <v>30</v>
      </c>
    </row>
    <row r="38" spans="1:5" x14ac:dyDescent="0.2">
      <c r="A38" t="s">
        <v>3</v>
      </c>
      <c r="B38" t="s">
        <v>34</v>
      </c>
      <c r="C38" t="s">
        <v>32</v>
      </c>
      <c r="D38" s="2">
        <v>7777</v>
      </c>
      <c r="E38" s="3">
        <v>504</v>
      </c>
    </row>
    <row r="39" spans="1:5" x14ac:dyDescent="0.2">
      <c r="A39" t="s">
        <v>6</v>
      </c>
      <c r="B39" t="s">
        <v>34</v>
      </c>
      <c r="C39" t="s">
        <v>27</v>
      </c>
      <c r="D39" s="2">
        <v>4242</v>
      </c>
      <c r="E39" s="3">
        <v>207</v>
      </c>
    </row>
    <row r="40" spans="1:5" x14ac:dyDescent="0.2">
      <c r="A40" t="s">
        <v>6</v>
      </c>
      <c r="B40" t="s">
        <v>36</v>
      </c>
      <c r="C40" t="s">
        <v>32</v>
      </c>
      <c r="D40" s="2">
        <v>6118</v>
      </c>
      <c r="E40" s="3">
        <v>9</v>
      </c>
    </row>
    <row r="41" spans="1:5" x14ac:dyDescent="0.2">
      <c r="A41" t="s">
        <v>8</v>
      </c>
      <c r="B41" t="s">
        <v>37</v>
      </c>
      <c r="C41" t="s">
        <v>15</v>
      </c>
      <c r="D41" s="2">
        <v>9709</v>
      </c>
      <c r="E41" s="3">
        <v>30</v>
      </c>
    </row>
    <row r="42" spans="1:5" x14ac:dyDescent="0.2">
      <c r="A42" t="s">
        <v>7</v>
      </c>
      <c r="B42" t="s">
        <v>37</v>
      </c>
      <c r="C42" t="s">
        <v>17</v>
      </c>
      <c r="D42" s="2">
        <v>4487</v>
      </c>
      <c r="E42" s="3">
        <v>111</v>
      </c>
    </row>
    <row r="43" spans="1:5" x14ac:dyDescent="0.2">
      <c r="A43" t="s">
        <v>10</v>
      </c>
      <c r="B43" t="s">
        <v>38</v>
      </c>
      <c r="C43" t="s">
        <v>14</v>
      </c>
      <c r="D43" s="2">
        <v>5586</v>
      </c>
      <c r="E43" s="3">
        <v>525</v>
      </c>
    </row>
    <row r="44" spans="1:5" x14ac:dyDescent="0.2">
      <c r="A44" t="s">
        <v>9</v>
      </c>
      <c r="B44" t="s">
        <v>34</v>
      </c>
      <c r="C44" t="s">
        <v>20</v>
      </c>
      <c r="D44" s="2">
        <v>8463</v>
      </c>
      <c r="E44" s="3">
        <v>492</v>
      </c>
    </row>
    <row r="45" spans="1:5" x14ac:dyDescent="0.2">
      <c r="A45" t="s">
        <v>6</v>
      </c>
      <c r="B45" t="s">
        <v>36</v>
      </c>
      <c r="C45" t="s">
        <v>17</v>
      </c>
      <c r="D45" s="2">
        <v>4970</v>
      </c>
      <c r="E45" s="3">
        <v>156</v>
      </c>
    </row>
    <row r="46" spans="1:5" x14ac:dyDescent="0.2">
      <c r="A46" t="s">
        <v>8</v>
      </c>
      <c r="B46" t="s">
        <v>39</v>
      </c>
      <c r="C46" t="s">
        <v>31</v>
      </c>
      <c r="D46" s="2">
        <v>8890</v>
      </c>
      <c r="E46" s="3">
        <v>210</v>
      </c>
    </row>
    <row r="47" spans="1:5" x14ac:dyDescent="0.2">
      <c r="A47" t="s">
        <v>2</v>
      </c>
      <c r="B47" t="s">
        <v>39</v>
      </c>
      <c r="C47" t="s">
        <v>27</v>
      </c>
      <c r="D47" s="2">
        <v>7812</v>
      </c>
      <c r="E47" s="3">
        <v>81</v>
      </c>
    </row>
    <row r="48" spans="1:5" x14ac:dyDescent="0.2">
      <c r="A48" t="s">
        <v>40</v>
      </c>
      <c r="B48" t="s">
        <v>37</v>
      </c>
      <c r="C48" t="s">
        <v>19</v>
      </c>
      <c r="D48" s="2">
        <v>7693</v>
      </c>
      <c r="E48" s="3">
        <v>21</v>
      </c>
    </row>
    <row r="49" spans="1:5" x14ac:dyDescent="0.2">
      <c r="A49" t="s">
        <v>5</v>
      </c>
      <c r="B49" t="s">
        <v>38</v>
      </c>
      <c r="C49" t="s">
        <v>13</v>
      </c>
      <c r="D49" s="2">
        <v>7189</v>
      </c>
      <c r="E49" s="3">
        <v>54</v>
      </c>
    </row>
    <row r="50" spans="1:5" x14ac:dyDescent="0.2">
      <c r="A50" t="s">
        <v>41</v>
      </c>
      <c r="B50" t="s">
        <v>35</v>
      </c>
      <c r="C50" t="s">
        <v>28</v>
      </c>
      <c r="D50" s="2">
        <v>7455</v>
      </c>
      <c r="E50" s="3">
        <v>216</v>
      </c>
    </row>
    <row r="51" spans="1:5" x14ac:dyDescent="0.2">
      <c r="A51" t="s">
        <v>9</v>
      </c>
      <c r="B51" t="s">
        <v>37</v>
      </c>
      <c r="C51" t="s">
        <v>25</v>
      </c>
      <c r="D51" s="2">
        <v>4305</v>
      </c>
      <c r="E51" s="3">
        <v>156</v>
      </c>
    </row>
    <row r="52" spans="1:5" x14ac:dyDescent="0.2">
      <c r="A52" t="s">
        <v>40</v>
      </c>
      <c r="B52" t="s">
        <v>36</v>
      </c>
      <c r="C52" t="s">
        <v>33</v>
      </c>
      <c r="D52" s="2">
        <v>9772</v>
      </c>
      <c r="E52" s="3">
        <v>90</v>
      </c>
    </row>
    <row r="53" spans="1:5" x14ac:dyDescent="0.2">
      <c r="A53" t="s">
        <v>40</v>
      </c>
      <c r="B53" t="s">
        <v>34</v>
      </c>
      <c r="C53" t="s">
        <v>26</v>
      </c>
      <c r="D53" s="2">
        <v>6748</v>
      </c>
      <c r="E53" s="3">
        <v>48</v>
      </c>
    </row>
    <row r="54" spans="1:5" x14ac:dyDescent="0.2">
      <c r="A54" t="s">
        <v>5</v>
      </c>
      <c r="B54" t="s">
        <v>39</v>
      </c>
      <c r="C54" t="s">
        <v>26</v>
      </c>
      <c r="D54" s="2">
        <v>5236</v>
      </c>
      <c r="E54" s="3">
        <v>51</v>
      </c>
    </row>
    <row r="55" spans="1:5" x14ac:dyDescent="0.2">
      <c r="A55" t="s">
        <v>7</v>
      </c>
      <c r="B55" t="s">
        <v>37</v>
      </c>
      <c r="C55" t="s">
        <v>14</v>
      </c>
      <c r="D55" s="2">
        <v>6608</v>
      </c>
      <c r="E55" s="3">
        <v>225</v>
      </c>
    </row>
    <row r="56" spans="1:5" x14ac:dyDescent="0.2">
      <c r="A56" t="s">
        <v>6</v>
      </c>
      <c r="B56" t="s">
        <v>34</v>
      </c>
      <c r="C56" t="s">
        <v>26</v>
      </c>
      <c r="D56" s="2">
        <v>8008</v>
      </c>
      <c r="E56" s="3">
        <v>456</v>
      </c>
    </row>
    <row r="57" spans="1:5" x14ac:dyDescent="0.2">
      <c r="A57" t="s">
        <v>7</v>
      </c>
      <c r="B57" t="s">
        <v>35</v>
      </c>
      <c r="C57" t="s">
        <v>30</v>
      </c>
      <c r="D57" s="2">
        <v>6755</v>
      </c>
      <c r="E57" s="3">
        <v>252</v>
      </c>
    </row>
    <row r="58" spans="1:5" x14ac:dyDescent="0.2">
      <c r="A58" t="s">
        <v>40</v>
      </c>
      <c r="B58" t="s">
        <v>38</v>
      </c>
      <c r="C58" t="s">
        <v>4</v>
      </c>
      <c r="D58" s="2">
        <v>6125</v>
      </c>
      <c r="E58" s="3">
        <v>102</v>
      </c>
    </row>
    <row r="59" spans="1:5" x14ac:dyDescent="0.2">
      <c r="A59" t="s">
        <v>8</v>
      </c>
      <c r="B59" t="s">
        <v>35</v>
      </c>
      <c r="C59" t="s">
        <v>27</v>
      </c>
      <c r="D59" s="2">
        <v>4753</v>
      </c>
      <c r="E59" s="3">
        <v>300</v>
      </c>
    </row>
    <row r="60" spans="1:5" x14ac:dyDescent="0.2">
      <c r="A60" t="s">
        <v>7</v>
      </c>
      <c r="B60" t="s">
        <v>35</v>
      </c>
      <c r="C60" t="s">
        <v>14</v>
      </c>
      <c r="D60" s="2">
        <v>4606</v>
      </c>
      <c r="E60" s="3">
        <v>63</v>
      </c>
    </row>
    <row r="61" spans="1:5" x14ac:dyDescent="0.2">
      <c r="A61" t="s">
        <v>7</v>
      </c>
      <c r="B61" t="s">
        <v>36</v>
      </c>
      <c r="C61" t="s">
        <v>29</v>
      </c>
      <c r="D61" s="2">
        <v>5551</v>
      </c>
      <c r="E61" s="3">
        <v>252</v>
      </c>
    </row>
    <row r="62" spans="1:5" x14ac:dyDescent="0.2">
      <c r="A62" t="s">
        <v>10</v>
      </c>
      <c r="B62" t="s">
        <v>36</v>
      </c>
      <c r="C62" t="s">
        <v>32</v>
      </c>
      <c r="D62" s="2">
        <v>6657</v>
      </c>
      <c r="E62" s="3">
        <v>303</v>
      </c>
    </row>
    <row r="63" spans="1:5" x14ac:dyDescent="0.2">
      <c r="A63" t="s">
        <v>7</v>
      </c>
      <c r="B63" t="s">
        <v>39</v>
      </c>
      <c r="C63" t="s">
        <v>17</v>
      </c>
      <c r="D63" s="2">
        <v>4438</v>
      </c>
      <c r="E63" s="3">
        <v>246</v>
      </c>
    </row>
    <row r="64" spans="1:5" x14ac:dyDescent="0.2">
      <c r="A64" t="s">
        <v>7</v>
      </c>
      <c r="B64" t="s">
        <v>34</v>
      </c>
      <c r="C64" t="s">
        <v>17</v>
      </c>
      <c r="D64" s="2">
        <v>7777</v>
      </c>
      <c r="E64" s="3">
        <v>39</v>
      </c>
    </row>
    <row r="65" spans="1:5" x14ac:dyDescent="0.2">
      <c r="A65" t="s">
        <v>7</v>
      </c>
      <c r="B65" t="s">
        <v>37</v>
      </c>
      <c r="C65" t="s">
        <v>33</v>
      </c>
      <c r="D65" s="2">
        <v>6391</v>
      </c>
      <c r="E65" s="3">
        <v>48</v>
      </c>
    </row>
    <row r="66" spans="1:5" x14ac:dyDescent="0.2">
      <c r="A66" t="s">
        <v>7</v>
      </c>
      <c r="B66" t="s">
        <v>38</v>
      </c>
      <c r="C66" t="s">
        <v>28</v>
      </c>
      <c r="D66" s="2">
        <v>5677</v>
      </c>
      <c r="E66" s="3">
        <v>258</v>
      </c>
    </row>
    <row r="67" spans="1:5" x14ac:dyDescent="0.2">
      <c r="A67" t="s">
        <v>6</v>
      </c>
      <c r="B67" t="s">
        <v>39</v>
      </c>
      <c r="C67" t="s">
        <v>17</v>
      </c>
      <c r="D67" s="2">
        <v>6048</v>
      </c>
      <c r="E67" s="3">
        <v>27</v>
      </c>
    </row>
    <row r="68" spans="1:5" x14ac:dyDescent="0.2">
      <c r="A68" t="s">
        <v>5</v>
      </c>
      <c r="B68" t="s">
        <v>35</v>
      </c>
      <c r="C68" t="s">
        <v>29</v>
      </c>
      <c r="D68" s="2">
        <v>4480</v>
      </c>
      <c r="E68" s="3">
        <v>357</v>
      </c>
    </row>
    <row r="69" spans="1:5" x14ac:dyDescent="0.2">
      <c r="A69" t="s">
        <v>41</v>
      </c>
      <c r="B69" t="s">
        <v>34</v>
      </c>
      <c r="C69" t="s">
        <v>33</v>
      </c>
      <c r="D69" s="2">
        <v>7847</v>
      </c>
      <c r="E69" s="3">
        <v>174</v>
      </c>
    </row>
    <row r="70" spans="1:5" x14ac:dyDescent="0.2">
      <c r="A70" t="s">
        <v>2</v>
      </c>
      <c r="B70" t="s">
        <v>37</v>
      </c>
      <c r="C70" t="s">
        <v>17</v>
      </c>
      <c r="D70" s="2">
        <v>9926</v>
      </c>
      <c r="E70" s="3">
        <v>201</v>
      </c>
    </row>
    <row r="71" spans="1:5" x14ac:dyDescent="0.2">
      <c r="A71" t="s">
        <v>9</v>
      </c>
      <c r="B71" t="s">
        <v>34</v>
      </c>
      <c r="C71" t="s">
        <v>21</v>
      </c>
      <c r="D71" s="2">
        <v>6832</v>
      </c>
      <c r="E71" s="3">
        <v>27</v>
      </c>
    </row>
    <row r="72" spans="1:5" x14ac:dyDescent="0.2">
      <c r="A72" t="s">
        <v>6</v>
      </c>
      <c r="B72" t="s">
        <v>38</v>
      </c>
      <c r="C72" t="s">
        <v>21</v>
      </c>
      <c r="D72" s="2">
        <v>7322</v>
      </c>
      <c r="E72" s="3">
        <v>36</v>
      </c>
    </row>
    <row r="73" spans="1:5" x14ac:dyDescent="0.2">
      <c r="A73" t="s">
        <v>7</v>
      </c>
      <c r="B73" t="s">
        <v>36</v>
      </c>
      <c r="C73" t="s">
        <v>22</v>
      </c>
      <c r="D73" s="2">
        <v>8435</v>
      </c>
      <c r="E73" s="3">
        <v>42</v>
      </c>
    </row>
    <row r="74" spans="1:5" x14ac:dyDescent="0.2">
      <c r="A74" t="s">
        <v>7</v>
      </c>
      <c r="B74" t="s">
        <v>34</v>
      </c>
      <c r="C74" t="s">
        <v>24</v>
      </c>
      <c r="D74" s="2">
        <v>8862</v>
      </c>
      <c r="E74" s="3">
        <v>189</v>
      </c>
    </row>
    <row r="75" spans="1:5" x14ac:dyDescent="0.2">
      <c r="A75" t="s">
        <v>5</v>
      </c>
      <c r="B75" t="s">
        <v>34</v>
      </c>
      <c r="C75" t="s">
        <v>15</v>
      </c>
      <c r="D75" s="2">
        <v>7280</v>
      </c>
      <c r="E75" s="3">
        <v>201</v>
      </c>
    </row>
    <row r="76" spans="1:5" x14ac:dyDescent="0.2">
      <c r="A76" t="s">
        <v>3</v>
      </c>
      <c r="B76" t="s">
        <v>37</v>
      </c>
      <c r="C76" t="s">
        <v>29</v>
      </c>
      <c r="D76" s="2">
        <v>4592</v>
      </c>
      <c r="E76" s="3">
        <v>324</v>
      </c>
    </row>
    <row r="77" spans="1:5" x14ac:dyDescent="0.2">
      <c r="A77" t="s">
        <v>9</v>
      </c>
      <c r="B77" t="s">
        <v>35</v>
      </c>
      <c r="C77" t="s">
        <v>15</v>
      </c>
      <c r="D77" s="2">
        <v>7833</v>
      </c>
      <c r="E77" s="3">
        <v>243</v>
      </c>
    </row>
    <row r="78" spans="1:5" x14ac:dyDescent="0.2">
      <c r="A78" t="s">
        <v>2</v>
      </c>
      <c r="B78" t="s">
        <v>39</v>
      </c>
      <c r="C78" t="s">
        <v>21</v>
      </c>
      <c r="D78" s="2">
        <v>7651</v>
      </c>
      <c r="E78" s="3">
        <v>213</v>
      </c>
    </row>
    <row r="79" spans="1:5" x14ac:dyDescent="0.2">
      <c r="A79" t="s">
        <v>40</v>
      </c>
      <c r="B79" t="s">
        <v>38</v>
      </c>
      <c r="C79" t="s">
        <v>13</v>
      </c>
      <c r="D79" s="2">
        <v>5670</v>
      </c>
      <c r="E79" s="3">
        <v>297</v>
      </c>
    </row>
    <row r="80" spans="1:5" x14ac:dyDescent="0.2">
      <c r="A80" t="s">
        <v>7</v>
      </c>
      <c r="B80" t="s">
        <v>35</v>
      </c>
      <c r="C80" t="s">
        <v>19</v>
      </c>
      <c r="D80" s="2">
        <v>4585</v>
      </c>
      <c r="E80" s="3">
        <v>240</v>
      </c>
    </row>
    <row r="81" spans="1:5" x14ac:dyDescent="0.2">
      <c r="A81" t="s">
        <v>10</v>
      </c>
      <c r="B81" t="s">
        <v>34</v>
      </c>
      <c r="C81" t="s">
        <v>26</v>
      </c>
      <c r="D81" s="2">
        <v>4991</v>
      </c>
      <c r="E81" s="3">
        <v>9</v>
      </c>
    </row>
    <row r="82" spans="1:5" x14ac:dyDescent="0.2">
      <c r="A82" t="s">
        <v>6</v>
      </c>
      <c r="B82" t="s">
        <v>36</v>
      </c>
      <c r="C82" t="s">
        <v>4</v>
      </c>
      <c r="D82" s="2">
        <v>10073</v>
      </c>
      <c r="E82" s="3">
        <v>120</v>
      </c>
    </row>
    <row r="83" spans="1:5" x14ac:dyDescent="0.2">
      <c r="A83" t="s">
        <v>3</v>
      </c>
      <c r="B83" t="s">
        <v>39</v>
      </c>
      <c r="C83" t="s">
        <v>26</v>
      </c>
      <c r="D83" s="2">
        <v>4956</v>
      </c>
      <c r="E83" s="3">
        <v>171</v>
      </c>
    </row>
    <row r="84" spans="1:5" x14ac:dyDescent="0.2">
      <c r="A84" t="s">
        <v>10</v>
      </c>
      <c r="B84" t="s">
        <v>34</v>
      </c>
      <c r="C84" t="s">
        <v>19</v>
      </c>
      <c r="D84" s="2">
        <v>5355</v>
      </c>
      <c r="E84" s="3">
        <v>204</v>
      </c>
    </row>
    <row r="85" spans="1:5" x14ac:dyDescent="0.2">
      <c r="A85" t="s">
        <v>3</v>
      </c>
      <c r="B85" t="s">
        <v>34</v>
      </c>
      <c r="C85" t="s">
        <v>14</v>
      </c>
      <c r="D85" s="2">
        <v>7259</v>
      </c>
      <c r="E85" s="3">
        <v>276</v>
      </c>
    </row>
    <row r="86" spans="1:5" x14ac:dyDescent="0.2">
      <c r="A86" t="s">
        <v>8</v>
      </c>
      <c r="B86" t="s">
        <v>37</v>
      </c>
      <c r="C86" t="s">
        <v>26</v>
      </c>
      <c r="D86" s="2">
        <v>6279</v>
      </c>
      <c r="E86" s="3">
        <v>45</v>
      </c>
    </row>
    <row r="87" spans="1:5" x14ac:dyDescent="0.2">
      <c r="A87" t="s">
        <v>5</v>
      </c>
      <c r="B87" t="s">
        <v>36</v>
      </c>
      <c r="C87" t="s">
        <v>13</v>
      </c>
      <c r="D87" s="2">
        <v>6146</v>
      </c>
      <c r="E87" s="3">
        <v>63</v>
      </c>
    </row>
    <row r="88" spans="1:5" x14ac:dyDescent="0.2">
      <c r="A88" t="s">
        <v>3</v>
      </c>
      <c r="B88" t="s">
        <v>34</v>
      </c>
      <c r="C88" t="s">
        <v>25</v>
      </c>
      <c r="D88" s="2">
        <v>6300</v>
      </c>
      <c r="E88" s="3">
        <v>42</v>
      </c>
    </row>
    <row r="89" spans="1:5" x14ac:dyDescent="0.2">
      <c r="A89" t="s">
        <v>40</v>
      </c>
      <c r="B89" t="s">
        <v>35</v>
      </c>
      <c r="C89" t="s">
        <v>22</v>
      </c>
      <c r="D89" s="2">
        <v>6853</v>
      </c>
      <c r="E89" s="3">
        <v>372</v>
      </c>
    </row>
    <row r="90" spans="1:5" x14ac:dyDescent="0.2">
      <c r="A90" t="s">
        <v>40</v>
      </c>
      <c r="B90" t="s">
        <v>35</v>
      </c>
      <c r="C90" t="s">
        <v>16</v>
      </c>
      <c r="D90" s="2">
        <v>4725</v>
      </c>
      <c r="E90" s="3">
        <v>174</v>
      </c>
    </row>
    <row r="91" spans="1:5" x14ac:dyDescent="0.2">
      <c r="A91" t="s">
        <v>41</v>
      </c>
      <c r="B91" t="s">
        <v>36</v>
      </c>
      <c r="C91" t="s">
        <v>32</v>
      </c>
      <c r="D91" s="2">
        <v>10304</v>
      </c>
      <c r="E91" s="3">
        <v>84</v>
      </c>
    </row>
    <row r="92" spans="1:5" x14ac:dyDescent="0.2">
      <c r="A92" t="s">
        <v>7</v>
      </c>
      <c r="B92" t="s">
        <v>37</v>
      </c>
      <c r="C92" t="s">
        <v>26</v>
      </c>
      <c r="D92" s="2">
        <v>5306</v>
      </c>
      <c r="E92" s="3">
        <v>0</v>
      </c>
    </row>
    <row r="93" spans="1:5" x14ac:dyDescent="0.2">
      <c r="A93" t="s">
        <v>7</v>
      </c>
      <c r="B93" t="s">
        <v>37</v>
      </c>
      <c r="C93" t="s">
        <v>22</v>
      </c>
      <c r="D93" s="2">
        <v>9835</v>
      </c>
      <c r="E93" s="3">
        <v>207</v>
      </c>
    </row>
    <row r="94" spans="1:5" x14ac:dyDescent="0.2">
      <c r="A94" t="s">
        <v>9</v>
      </c>
      <c r="B94" t="s">
        <v>37</v>
      </c>
      <c r="C94" t="s">
        <v>20</v>
      </c>
      <c r="D94" s="2">
        <v>7273</v>
      </c>
      <c r="E94" s="3">
        <v>96</v>
      </c>
    </row>
    <row r="95" spans="1:5" x14ac:dyDescent="0.2">
      <c r="A95" t="s">
        <v>5</v>
      </c>
      <c r="B95" t="s">
        <v>39</v>
      </c>
      <c r="C95" t="s">
        <v>22</v>
      </c>
      <c r="D95" s="2">
        <v>6909</v>
      </c>
      <c r="E95" s="3">
        <v>81</v>
      </c>
    </row>
    <row r="96" spans="1:5" x14ac:dyDescent="0.2">
      <c r="A96" t="s">
        <v>10</v>
      </c>
      <c r="B96" t="s">
        <v>39</v>
      </c>
      <c r="C96" t="s">
        <v>21</v>
      </c>
      <c r="D96" s="2">
        <v>4858</v>
      </c>
      <c r="E96" s="3">
        <v>279</v>
      </c>
    </row>
    <row r="97" spans="1:5" x14ac:dyDescent="0.2">
      <c r="A97" t="s">
        <v>41</v>
      </c>
      <c r="B97" t="s">
        <v>36</v>
      </c>
      <c r="C97" t="s">
        <v>30</v>
      </c>
      <c r="D97" s="2">
        <v>6118</v>
      </c>
      <c r="E97" s="3">
        <v>174</v>
      </c>
    </row>
    <row r="98" spans="1:5" x14ac:dyDescent="0.2">
      <c r="A98" t="s">
        <v>2</v>
      </c>
      <c r="B98" t="s">
        <v>39</v>
      </c>
      <c r="C98" t="s">
        <v>15</v>
      </c>
      <c r="D98" s="2">
        <v>4802</v>
      </c>
      <c r="E98" s="3">
        <v>36</v>
      </c>
    </row>
    <row r="99" spans="1:5" x14ac:dyDescent="0.2">
      <c r="A99" t="s">
        <v>9</v>
      </c>
      <c r="B99" t="s">
        <v>38</v>
      </c>
      <c r="C99" t="s">
        <v>24</v>
      </c>
      <c r="D99" s="2">
        <v>4137</v>
      </c>
      <c r="E99" s="3">
        <v>60</v>
      </c>
    </row>
    <row r="100" spans="1:5" x14ac:dyDescent="0.2">
      <c r="A100" t="s">
        <v>9</v>
      </c>
      <c r="B100" t="s">
        <v>36</v>
      </c>
      <c r="C100" t="s">
        <v>30</v>
      </c>
      <c r="D100" s="2">
        <v>9051</v>
      </c>
      <c r="E100" s="3">
        <v>57</v>
      </c>
    </row>
    <row r="101" spans="1:5" x14ac:dyDescent="0.2">
      <c r="A101" t="s">
        <v>41</v>
      </c>
      <c r="B101" t="s">
        <v>38</v>
      </c>
      <c r="C101" t="s">
        <v>22</v>
      </c>
      <c r="D101" s="2">
        <v>5915</v>
      </c>
      <c r="E101" s="3">
        <v>3</v>
      </c>
    </row>
    <row r="102" spans="1:5" x14ac:dyDescent="0.2">
      <c r="A102" t="s">
        <v>5</v>
      </c>
      <c r="B102" t="s">
        <v>37</v>
      </c>
      <c r="C102" t="s">
        <v>25</v>
      </c>
      <c r="D102" s="2">
        <v>8813</v>
      </c>
      <c r="E102" s="3">
        <v>21</v>
      </c>
    </row>
    <row r="103" spans="1:5" x14ac:dyDescent="0.2">
      <c r="A103" t="s">
        <v>5</v>
      </c>
      <c r="B103" t="s">
        <v>36</v>
      </c>
      <c r="C103" t="s">
        <v>18</v>
      </c>
      <c r="D103" s="2">
        <v>6111</v>
      </c>
      <c r="E103" s="3">
        <v>3</v>
      </c>
    </row>
    <row r="104" spans="1:5" x14ac:dyDescent="0.2">
      <c r="A104" t="s">
        <v>6</v>
      </c>
      <c r="B104" t="s">
        <v>36</v>
      </c>
      <c r="C104" t="s">
        <v>13</v>
      </c>
      <c r="D104" s="2">
        <v>4319</v>
      </c>
      <c r="E104" s="3">
        <v>30</v>
      </c>
    </row>
    <row r="105" spans="1:5" x14ac:dyDescent="0.2">
      <c r="A105" t="s">
        <v>40</v>
      </c>
      <c r="B105" t="s">
        <v>39</v>
      </c>
      <c r="C105" t="s">
        <v>27</v>
      </c>
      <c r="D105" s="2">
        <v>6370</v>
      </c>
      <c r="E105" s="3">
        <v>30</v>
      </c>
    </row>
    <row r="106" spans="1:5" x14ac:dyDescent="0.2">
      <c r="A106" t="s">
        <v>5</v>
      </c>
      <c r="B106" t="s">
        <v>38</v>
      </c>
      <c r="C106" t="s">
        <v>19</v>
      </c>
      <c r="D106" s="2">
        <v>5474</v>
      </c>
      <c r="E106" s="3">
        <v>168</v>
      </c>
    </row>
    <row r="107" spans="1:5" x14ac:dyDescent="0.2">
      <c r="A107" t="s">
        <v>3</v>
      </c>
      <c r="B107" t="s">
        <v>37</v>
      </c>
      <c r="C107" t="s">
        <v>28</v>
      </c>
      <c r="D107" s="2">
        <v>7308</v>
      </c>
      <c r="E107" s="3">
        <v>327</v>
      </c>
    </row>
    <row r="108" spans="1:5" x14ac:dyDescent="0.2">
      <c r="A108" t="s">
        <v>40</v>
      </c>
      <c r="B108" t="s">
        <v>37</v>
      </c>
      <c r="C108" t="s">
        <v>27</v>
      </c>
      <c r="D108" s="2">
        <v>6132</v>
      </c>
      <c r="E108" s="3">
        <v>93</v>
      </c>
    </row>
    <row r="109" spans="1:5" x14ac:dyDescent="0.2">
      <c r="A109" t="s">
        <v>8</v>
      </c>
      <c r="B109" t="s">
        <v>39</v>
      </c>
      <c r="C109" t="s">
        <v>18</v>
      </c>
      <c r="D109" s="2">
        <v>9660</v>
      </c>
      <c r="E109" s="3">
        <v>27</v>
      </c>
    </row>
    <row r="110" spans="1:5" x14ac:dyDescent="0.2">
      <c r="A110" t="s">
        <v>9</v>
      </c>
      <c r="B110" t="s">
        <v>38</v>
      </c>
      <c r="C110" t="s">
        <v>33</v>
      </c>
      <c r="D110" s="2">
        <v>9506</v>
      </c>
      <c r="E110" s="3">
        <v>87</v>
      </c>
    </row>
    <row r="111" spans="1:5" x14ac:dyDescent="0.2">
      <c r="A111" t="s">
        <v>7</v>
      </c>
      <c r="B111" t="s">
        <v>35</v>
      </c>
      <c r="C111" t="s">
        <v>28</v>
      </c>
      <c r="D111" s="2">
        <v>5194</v>
      </c>
      <c r="E111" s="3">
        <v>288</v>
      </c>
    </row>
    <row r="112" spans="1:5" x14ac:dyDescent="0.2">
      <c r="A112" t="s">
        <v>6</v>
      </c>
      <c r="B112" t="s">
        <v>34</v>
      </c>
      <c r="C112" t="s">
        <v>32</v>
      </c>
      <c r="D112" s="2">
        <v>6734</v>
      </c>
      <c r="E112" s="3">
        <v>123</v>
      </c>
    </row>
    <row r="113" spans="1:5" x14ac:dyDescent="0.2">
      <c r="A113" t="s">
        <v>5</v>
      </c>
      <c r="B113" t="s">
        <v>34</v>
      </c>
      <c r="C113" t="s">
        <v>22</v>
      </c>
      <c r="D113" s="2">
        <v>6279</v>
      </c>
      <c r="E113" s="3">
        <v>237</v>
      </c>
    </row>
    <row r="114" spans="1:5" x14ac:dyDescent="0.2">
      <c r="A114" t="s">
        <v>40</v>
      </c>
      <c r="B114" t="s">
        <v>36</v>
      </c>
      <c r="C114" t="s">
        <v>13</v>
      </c>
      <c r="D114" s="2">
        <v>4424</v>
      </c>
      <c r="E114" s="3">
        <v>201</v>
      </c>
    </row>
    <row r="115" spans="1:5" x14ac:dyDescent="0.2">
      <c r="A115" t="s">
        <v>7</v>
      </c>
      <c r="B115" t="s">
        <v>38</v>
      </c>
      <c r="C115" t="s">
        <v>30</v>
      </c>
      <c r="D115" s="2">
        <v>10129</v>
      </c>
      <c r="E115" s="3">
        <v>312</v>
      </c>
    </row>
    <row r="116" spans="1:5" x14ac:dyDescent="0.2">
      <c r="A116" t="s">
        <v>8</v>
      </c>
      <c r="B116" t="s">
        <v>38</v>
      </c>
      <c r="C116" t="s">
        <v>21</v>
      </c>
      <c r="D116" s="2">
        <v>6433</v>
      </c>
      <c r="E116" s="3">
        <v>78</v>
      </c>
    </row>
    <row r="117" spans="1:5" x14ac:dyDescent="0.2">
      <c r="A117" t="s">
        <v>40</v>
      </c>
      <c r="B117" t="s">
        <v>39</v>
      </c>
      <c r="C117" t="s">
        <v>15</v>
      </c>
      <c r="D117" s="2">
        <v>5775</v>
      </c>
      <c r="E117" s="3">
        <v>42</v>
      </c>
    </row>
    <row r="118" spans="1:5" x14ac:dyDescent="0.2">
      <c r="A118" t="s">
        <v>8</v>
      </c>
      <c r="B118" t="s">
        <v>36</v>
      </c>
      <c r="C118" t="s">
        <v>23</v>
      </c>
      <c r="D118" s="2">
        <v>5019</v>
      </c>
      <c r="E118" s="3">
        <v>150</v>
      </c>
    </row>
    <row r="119" spans="1:5" x14ac:dyDescent="0.2">
      <c r="A119" t="s">
        <v>6</v>
      </c>
      <c r="B119" t="s">
        <v>37</v>
      </c>
      <c r="C119" t="s">
        <v>26</v>
      </c>
      <c r="D119" s="2">
        <v>6818</v>
      </c>
      <c r="E119" s="3">
        <v>6</v>
      </c>
    </row>
    <row r="120" spans="1:5" x14ac:dyDescent="0.2">
      <c r="A120" t="s">
        <v>3</v>
      </c>
      <c r="B120" t="s">
        <v>35</v>
      </c>
      <c r="C120" t="s">
        <v>15</v>
      </c>
      <c r="D120" s="2">
        <v>6657</v>
      </c>
      <c r="E120" s="3">
        <v>276</v>
      </c>
    </row>
    <row r="121" spans="1:5" x14ac:dyDescent="0.2">
      <c r="A121" t="s">
        <v>5</v>
      </c>
      <c r="B121" t="s">
        <v>35</v>
      </c>
      <c r="C121" t="s">
        <v>31</v>
      </c>
      <c r="D121" s="2">
        <v>4753</v>
      </c>
      <c r="E121" s="3">
        <v>246</v>
      </c>
    </row>
    <row r="122" spans="1:5" x14ac:dyDescent="0.2">
      <c r="A122" t="s">
        <v>2</v>
      </c>
      <c r="B122" t="s">
        <v>34</v>
      </c>
      <c r="C122" t="s">
        <v>19</v>
      </c>
      <c r="D122" s="2">
        <v>7511</v>
      </c>
      <c r="E122" s="3">
        <v>120</v>
      </c>
    </row>
    <row r="123" spans="1:5" x14ac:dyDescent="0.2">
      <c r="A123" t="s">
        <v>2</v>
      </c>
      <c r="B123" t="s">
        <v>38</v>
      </c>
      <c r="C123" t="s">
        <v>31</v>
      </c>
      <c r="D123" s="2">
        <v>4326</v>
      </c>
      <c r="E123" s="3">
        <v>348</v>
      </c>
    </row>
    <row r="124" spans="1:5" x14ac:dyDescent="0.2">
      <c r="A124" t="s">
        <v>41</v>
      </c>
      <c r="B124" t="s">
        <v>34</v>
      </c>
      <c r="C124" t="s">
        <v>23</v>
      </c>
      <c r="D124" s="2">
        <v>4935</v>
      </c>
      <c r="E124" s="3">
        <v>126</v>
      </c>
    </row>
    <row r="125" spans="1:5" x14ac:dyDescent="0.2">
      <c r="A125" t="s">
        <v>6</v>
      </c>
      <c r="B125" t="s">
        <v>35</v>
      </c>
      <c r="C125" t="s">
        <v>30</v>
      </c>
      <c r="D125" s="2">
        <v>4781</v>
      </c>
      <c r="E125" s="3">
        <v>123</v>
      </c>
    </row>
    <row r="126" spans="1:5" x14ac:dyDescent="0.2">
      <c r="A126" t="s">
        <v>5</v>
      </c>
      <c r="B126" t="s">
        <v>38</v>
      </c>
      <c r="C126" t="s">
        <v>25</v>
      </c>
      <c r="D126" s="2">
        <v>7483</v>
      </c>
      <c r="E126" s="3">
        <v>45</v>
      </c>
    </row>
    <row r="127" spans="1:5" x14ac:dyDescent="0.2">
      <c r="A127" t="s">
        <v>10</v>
      </c>
      <c r="B127" t="s">
        <v>38</v>
      </c>
      <c r="C127" t="s">
        <v>4</v>
      </c>
      <c r="D127" s="2">
        <v>6860</v>
      </c>
      <c r="E127" s="3">
        <v>126</v>
      </c>
    </row>
    <row r="128" spans="1:5" x14ac:dyDescent="0.2">
      <c r="A128" t="s">
        <v>40</v>
      </c>
      <c r="B128" t="s">
        <v>37</v>
      </c>
      <c r="C128" t="s">
        <v>29</v>
      </c>
      <c r="D128" s="2">
        <v>9002</v>
      </c>
      <c r="E128" s="3">
        <v>72</v>
      </c>
    </row>
    <row r="129" spans="1:5" x14ac:dyDescent="0.2">
      <c r="A129" t="s">
        <v>7</v>
      </c>
      <c r="B129" t="s">
        <v>37</v>
      </c>
      <c r="C129" t="s">
        <v>30</v>
      </c>
      <c r="D129" s="2">
        <v>6454</v>
      </c>
      <c r="E129" s="3">
        <v>54</v>
      </c>
    </row>
    <row r="130" spans="1:5" x14ac:dyDescent="0.2">
      <c r="A130" t="s">
        <v>7</v>
      </c>
      <c r="B130" t="s">
        <v>37</v>
      </c>
      <c r="C130" t="s">
        <v>16</v>
      </c>
      <c r="D130" s="2">
        <v>4487</v>
      </c>
      <c r="E130" s="3">
        <v>333</v>
      </c>
    </row>
    <row r="131" spans="1:5" x14ac:dyDescent="0.2">
      <c r="A131" t="s">
        <v>3</v>
      </c>
      <c r="B131" t="s">
        <v>38</v>
      </c>
      <c r="C131" t="s">
        <v>26</v>
      </c>
      <c r="D131" s="2">
        <v>8841</v>
      </c>
      <c r="E131" s="3">
        <v>303</v>
      </c>
    </row>
    <row r="132" spans="1:5" x14ac:dyDescent="0.2">
      <c r="A132" t="s">
        <v>40</v>
      </c>
      <c r="B132" t="s">
        <v>37</v>
      </c>
      <c r="C132" t="s">
        <v>30</v>
      </c>
      <c r="D132" s="2">
        <v>1624</v>
      </c>
      <c r="E132" s="3">
        <v>114</v>
      </c>
    </row>
    <row r="133" spans="1:5" x14ac:dyDescent="0.2">
      <c r="A133" t="s">
        <v>9</v>
      </c>
      <c r="B133" t="s">
        <v>35</v>
      </c>
      <c r="C133" t="s">
        <v>4</v>
      </c>
      <c r="D133" s="2">
        <v>959</v>
      </c>
      <c r="E133" s="3">
        <v>147</v>
      </c>
    </row>
    <row r="134" spans="1:5" x14ac:dyDescent="0.2">
      <c r="A134" t="s">
        <v>6</v>
      </c>
      <c r="B134" t="s">
        <v>39</v>
      </c>
      <c r="C134" t="s">
        <v>25</v>
      </c>
      <c r="D134" s="2">
        <v>2100</v>
      </c>
      <c r="E134" s="3">
        <v>414</v>
      </c>
    </row>
    <row r="135" spans="1:5" x14ac:dyDescent="0.2">
      <c r="A135" t="s">
        <v>6</v>
      </c>
      <c r="B135" t="s">
        <v>38</v>
      </c>
      <c r="C135" t="s">
        <v>31</v>
      </c>
      <c r="D135" s="2">
        <v>2681</v>
      </c>
      <c r="E135" s="3">
        <v>54</v>
      </c>
    </row>
    <row r="136" spans="1:5" x14ac:dyDescent="0.2">
      <c r="A136" t="s">
        <v>7</v>
      </c>
      <c r="B136" t="s">
        <v>38</v>
      </c>
      <c r="C136" t="s">
        <v>14</v>
      </c>
      <c r="D136" s="2">
        <v>1281</v>
      </c>
      <c r="E136" s="3">
        <v>75</v>
      </c>
    </row>
    <row r="137" spans="1:5" x14ac:dyDescent="0.2">
      <c r="A137" t="s">
        <v>2</v>
      </c>
      <c r="B137" t="s">
        <v>39</v>
      </c>
      <c r="C137" t="s">
        <v>25</v>
      </c>
      <c r="D137" s="2">
        <v>1785</v>
      </c>
      <c r="E137" s="3">
        <v>462</v>
      </c>
    </row>
    <row r="138" spans="1:5" x14ac:dyDescent="0.2">
      <c r="A138" t="s">
        <v>3</v>
      </c>
      <c r="B138" t="s">
        <v>37</v>
      </c>
      <c r="C138" t="s">
        <v>17</v>
      </c>
      <c r="D138" s="2">
        <v>3983</v>
      </c>
      <c r="E138" s="3">
        <v>144</v>
      </c>
    </row>
    <row r="139" spans="1:5" x14ac:dyDescent="0.2">
      <c r="A139" t="s">
        <v>9</v>
      </c>
      <c r="B139" t="s">
        <v>38</v>
      </c>
      <c r="C139" t="s">
        <v>16</v>
      </c>
      <c r="D139" s="2">
        <v>2646</v>
      </c>
      <c r="E139" s="3">
        <v>120</v>
      </c>
    </row>
    <row r="140" spans="1:5" x14ac:dyDescent="0.2">
      <c r="A140" t="s">
        <v>2</v>
      </c>
      <c r="B140" t="s">
        <v>34</v>
      </c>
      <c r="C140" t="s">
        <v>13</v>
      </c>
      <c r="D140" s="2">
        <v>252</v>
      </c>
      <c r="E140" s="3">
        <v>54</v>
      </c>
    </row>
    <row r="141" spans="1:5" x14ac:dyDescent="0.2">
      <c r="A141" t="s">
        <v>3</v>
      </c>
      <c r="B141" t="s">
        <v>35</v>
      </c>
      <c r="C141" t="s">
        <v>25</v>
      </c>
      <c r="D141" s="2">
        <v>2464</v>
      </c>
      <c r="E141" s="3">
        <v>234</v>
      </c>
    </row>
    <row r="142" spans="1:5" x14ac:dyDescent="0.2">
      <c r="A142" t="s">
        <v>3</v>
      </c>
      <c r="B142" t="s">
        <v>35</v>
      </c>
      <c r="C142" t="s">
        <v>29</v>
      </c>
      <c r="D142" s="2">
        <v>2114</v>
      </c>
      <c r="E142" s="3">
        <v>66</v>
      </c>
    </row>
    <row r="143" spans="1:5" x14ac:dyDescent="0.2">
      <c r="A143" t="s">
        <v>41</v>
      </c>
      <c r="B143" t="s">
        <v>34</v>
      </c>
      <c r="C143" t="s">
        <v>22</v>
      </c>
      <c r="D143" s="2">
        <v>336</v>
      </c>
      <c r="E143" s="3">
        <v>144</v>
      </c>
    </row>
    <row r="144" spans="1:5" x14ac:dyDescent="0.2">
      <c r="A144" t="s">
        <v>8</v>
      </c>
      <c r="B144" t="s">
        <v>38</v>
      </c>
      <c r="C144" t="s">
        <v>23</v>
      </c>
      <c r="D144" s="2">
        <v>1701</v>
      </c>
      <c r="E144" s="3">
        <v>234</v>
      </c>
    </row>
    <row r="145" spans="1:5" x14ac:dyDescent="0.2">
      <c r="A145" t="s">
        <v>10</v>
      </c>
      <c r="B145" t="s">
        <v>38</v>
      </c>
      <c r="C145" t="s">
        <v>22</v>
      </c>
      <c r="D145" s="2">
        <v>2205</v>
      </c>
      <c r="E145" s="3">
        <v>141</v>
      </c>
    </row>
    <row r="146" spans="1:5" x14ac:dyDescent="0.2">
      <c r="A146" t="s">
        <v>8</v>
      </c>
      <c r="B146" t="s">
        <v>37</v>
      </c>
      <c r="C146" t="s">
        <v>19</v>
      </c>
      <c r="D146" s="2">
        <v>1771</v>
      </c>
      <c r="E146" s="3">
        <v>204</v>
      </c>
    </row>
    <row r="147" spans="1:5" x14ac:dyDescent="0.2">
      <c r="A147" t="s">
        <v>41</v>
      </c>
      <c r="B147" t="s">
        <v>35</v>
      </c>
      <c r="C147" t="s">
        <v>15</v>
      </c>
      <c r="D147" s="2">
        <v>2114</v>
      </c>
      <c r="E147" s="3">
        <v>186</v>
      </c>
    </row>
    <row r="148" spans="1:5" x14ac:dyDescent="0.2">
      <c r="A148" t="s">
        <v>3</v>
      </c>
      <c r="B148" t="s">
        <v>39</v>
      </c>
      <c r="C148" t="s">
        <v>16</v>
      </c>
      <c r="D148" s="2">
        <v>21</v>
      </c>
      <c r="E148" s="3">
        <v>168</v>
      </c>
    </row>
    <row r="149" spans="1:5" x14ac:dyDescent="0.2">
      <c r="A149" t="s">
        <v>10</v>
      </c>
      <c r="B149" t="s">
        <v>35</v>
      </c>
      <c r="C149" t="s">
        <v>20</v>
      </c>
      <c r="D149" s="2">
        <v>1974</v>
      </c>
      <c r="E149" s="3">
        <v>195</v>
      </c>
    </row>
    <row r="150" spans="1:5" x14ac:dyDescent="0.2">
      <c r="A150" t="s">
        <v>2</v>
      </c>
      <c r="B150" t="s">
        <v>35</v>
      </c>
      <c r="C150" t="s">
        <v>19</v>
      </c>
      <c r="D150" s="2">
        <v>553</v>
      </c>
      <c r="E150" s="3">
        <v>15</v>
      </c>
    </row>
    <row r="151" spans="1:5" x14ac:dyDescent="0.2">
      <c r="A151" t="s">
        <v>41</v>
      </c>
      <c r="B151" t="s">
        <v>39</v>
      </c>
      <c r="C151" t="s">
        <v>14</v>
      </c>
      <c r="D151" s="2">
        <v>3976</v>
      </c>
      <c r="E151" s="3">
        <v>72</v>
      </c>
    </row>
    <row r="152" spans="1:5" x14ac:dyDescent="0.2">
      <c r="A152" t="s">
        <v>6</v>
      </c>
      <c r="B152" t="s">
        <v>38</v>
      </c>
      <c r="C152" t="s">
        <v>27</v>
      </c>
      <c r="D152" s="2">
        <v>1134</v>
      </c>
      <c r="E152" s="3">
        <v>282</v>
      </c>
    </row>
    <row r="153" spans="1:5" x14ac:dyDescent="0.2">
      <c r="A153" t="s">
        <v>6</v>
      </c>
      <c r="B153" t="s">
        <v>37</v>
      </c>
      <c r="C153" t="s">
        <v>16</v>
      </c>
      <c r="D153" s="2">
        <v>1904</v>
      </c>
      <c r="E153" s="3">
        <v>405</v>
      </c>
    </row>
    <row r="154" spans="1:5" x14ac:dyDescent="0.2">
      <c r="A154" t="s">
        <v>7</v>
      </c>
      <c r="B154" t="s">
        <v>34</v>
      </c>
      <c r="C154" t="s">
        <v>32</v>
      </c>
      <c r="D154" s="2">
        <v>3262</v>
      </c>
      <c r="E154" s="3">
        <v>75</v>
      </c>
    </row>
    <row r="155" spans="1:5" x14ac:dyDescent="0.2">
      <c r="A155" t="s">
        <v>40</v>
      </c>
      <c r="B155" t="s">
        <v>34</v>
      </c>
      <c r="C155" t="s">
        <v>27</v>
      </c>
      <c r="D155" s="2">
        <v>2289</v>
      </c>
      <c r="E155" s="3">
        <v>135</v>
      </c>
    </row>
    <row r="156" spans="1:5" x14ac:dyDescent="0.2">
      <c r="A156" t="s">
        <v>6</v>
      </c>
      <c r="B156" t="s">
        <v>34</v>
      </c>
      <c r="C156" t="s">
        <v>15</v>
      </c>
      <c r="D156" s="2">
        <v>1442</v>
      </c>
      <c r="E156" s="3">
        <v>15</v>
      </c>
    </row>
    <row r="157" spans="1:5" x14ac:dyDescent="0.2">
      <c r="A157" t="s">
        <v>3</v>
      </c>
      <c r="B157" t="s">
        <v>35</v>
      </c>
      <c r="C157" t="s">
        <v>14</v>
      </c>
      <c r="D157" s="2">
        <v>2415</v>
      </c>
      <c r="E157" s="3">
        <v>255</v>
      </c>
    </row>
    <row r="158" spans="1:5" x14ac:dyDescent="0.2">
      <c r="A158" t="s">
        <v>2</v>
      </c>
      <c r="B158" t="s">
        <v>37</v>
      </c>
      <c r="C158" t="s">
        <v>19</v>
      </c>
      <c r="D158" s="2">
        <v>238</v>
      </c>
      <c r="E158" s="3">
        <v>18</v>
      </c>
    </row>
    <row r="159" spans="1:5" x14ac:dyDescent="0.2">
      <c r="A159" t="s">
        <v>6</v>
      </c>
      <c r="B159" t="s">
        <v>34</v>
      </c>
      <c r="C159" t="s">
        <v>29</v>
      </c>
      <c r="D159" s="2">
        <v>3339</v>
      </c>
      <c r="E159" s="3">
        <v>75</v>
      </c>
    </row>
    <row r="160" spans="1:5" x14ac:dyDescent="0.2">
      <c r="A160" t="s">
        <v>6</v>
      </c>
      <c r="B160" t="s">
        <v>36</v>
      </c>
      <c r="C160" t="s">
        <v>21</v>
      </c>
      <c r="D160" s="2">
        <v>497</v>
      </c>
      <c r="E160" s="3">
        <v>63</v>
      </c>
    </row>
    <row r="161" spans="1:5" x14ac:dyDescent="0.2">
      <c r="A161" t="s">
        <v>41</v>
      </c>
      <c r="B161" t="s">
        <v>34</v>
      </c>
      <c r="C161" t="s">
        <v>17</v>
      </c>
      <c r="D161" s="2">
        <v>1463</v>
      </c>
      <c r="E161" s="3">
        <v>39</v>
      </c>
    </row>
    <row r="162" spans="1:5" x14ac:dyDescent="0.2">
      <c r="A162" t="s">
        <v>9</v>
      </c>
      <c r="B162" t="s">
        <v>37</v>
      </c>
      <c r="C162" t="s">
        <v>29</v>
      </c>
      <c r="D162" s="2">
        <v>1085</v>
      </c>
      <c r="E162" s="3">
        <v>273</v>
      </c>
    </row>
    <row r="163" spans="1:5" x14ac:dyDescent="0.2">
      <c r="A163" t="s">
        <v>5</v>
      </c>
      <c r="B163" t="s">
        <v>37</v>
      </c>
      <c r="C163" t="s">
        <v>31</v>
      </c>
      <c r="D163" s="2">
        <v>182</v>
      </c>
      <c r="E163" s="3">
        <v>48</v>
      </c>
    </row>
    <row r="164" spans="1:5" x14ac:dyDescent="0.2">
      <c r="A164" t="s">
        <v>10</v>
      </c>
      <c r="B164" t="s">
        <v>36</v>
      </c>
      <c r="C164" t="s">
        <v>23</v>
      </c>
      <c r="D164" s="2">
        <v>2317</v>
      </c>
      <c r="E164" s="3">
        <v>261</v>
      </c>
    </row>
    <row r="165" spans="1:5" x14ac:dyDescent="0.2">
      <c r="A165" t="s">
        <v>6</v>
      </c>
      <c r="B165" t="s">
        <v>38</v>
      </c>
      <c r="C165" t="s">
        <v>16</v>
      </c>
      <c r="D165" s="2">
        <v>938</v>
      </c>
      <c r="E165" s="3">
        <v>6</v>
      </c>
    </row>
    <row r="166" spans="1:5" x14ac:dyDescent="0.2">
      <c r="A166" t="s">
        <v>7</v>
      </c>
      <c r="B166" t="s">
        <v>34</v>
      </c>
      <c r="C166" t="s">
        <v>20</v>
      </c>
      <c r="D166" s="2">
        <v>2205</v>
      </c>
      <c r="E166" s="3">
        <v>138</v>
      </c>
    </row>
    <row r="167" spans="1:5" x14ac:dyDescent="0.2">
      <c r="A167" t="s">
        <v>5</v>
      </c>
      <c r="B167" t="s">
        <v>35</v>
      </c>
      <c r="C167" t="s">
        <v>18</v>
      </c>
      <c r="D167" s="2">
        <v>2415</v>
      </c>
      <c r="E167" s="3">
        <v>15</v>
      </c>
    </row>
    <row r="168" spans="1:5" x14ac:dyDescent="0.2">
      <c r="A168" t="s">
        <v>40</v>
      </c>
      <c r="B168" t="s">
        <v>34</v>
      </c>
      <c r="C168" t="s">
        <v>19</v>
      </c>
      <c r="D168" s="2">
        <v>4018</v>
      </c>
      <c r="E168" s="3">
        <v>162</v>
      </c>
    </row>
    <row r="169" spans="1:5" x14ac:dyDescent="0.2">
      <c r="A169" t="s">
        <v>5</v>
      </c>
      <c r="B169" t="s">
        <v>34</v>
      </c>
      <c r="C169" t="s">
        <v>19</v>
      </c>
      <c r="D169" s="2">
        <v>861</v>
      </c>
      <c r="E169" s="3">
        <v>195</v>
      </c>
    </row>
    <row r="170" spans="1:5" x14ac:dyDescent="0.2">
      <c r="A170" t="s">
        <v>7</v>
      </c>
      <c r="B170" t="s">
        <v>34</v>
      </c>
      <c r="C170" t="s">
        <v>33</v>
      </c>
      <c r="D170" s="2">
        <v>2226</v>
      </c>
      <c r="E170" s="3">
        <v>48</v>
      </c>
    </row>
    <row r="171" spans="1:5" x14ac:dyDescent="0.2">
      <c r="A171" t="s">
        <v>5</v>
      </c>
      <c r="B171" t="s">
        <v>34</v>
      </c>
      <c r="C171" t="s">
        <v>29</v>
      </c>
      <c r="D171" s="2">
        <v>2891</v>
      </c>
      <c r="E171" s="3">
        <v>102</v>
      </c>
    </row>
    <row r="172" spans="1:5" x14ac:dyDescent="0.2">
      <c r="A172" t="s">
        <v>3</v>
      </c>
      <c r="B172" t="s">
        <v>36</v>
      </c>
      <c r="C172" t="s">
        <v>23</v>
      </c>
      <c r="D172" s="2">
        <v>3773</v>
      </c>
      <c r="E172" s="3">
        <v>165</v>
      </c>
    </row>
    <row r="173" spans="1:5" x14ac:dyDescent="0.2">
      <c r="A173" t="s">
        <v>41</v>
      </c>
      <c r="B173" t="s">
        <v>36</v>
      </c>
      <c r="C173" t="s">
        <v>28</v>
      </c>
      <c r="D173" s="2">
        <v>854</v>
      </c>
      <c r="E173" s="3">
        <v>309</v>
      </c>
    </row>
    <row r="174" spans="1:5" x14ac:dyDescent="0.2">
      <c r="A174" t="s">
        <v>9</v>
      </c>
      <c r="B174" t="s">
        <v>35</v>
      </c>
      <c r="C174" t="s">
        <v>26</v>
      </c>
      <c r="D174" s="2">
        <v>98</v>
      </c>
      <c r="E174" s="3">
        <v>159</v>
      </c>
    </row>
    <row r="175" spans="1:5" x14ac:dyDescent="0.2">
      <c r="A175" t="s">
        <v>2</v>
      </c>
      <c r="B175" t="s">
        <v>38</v>
      </c>
      <c r="C175" t="s">
        <v>13</v>
      </c>
      <c r="D175" s="2">
        <v>56</v>
      </c>
      <c r="E175" s="3">
        <v>51</v>
      </c>
    </row>
    <row r="176" spans="1:5" x14ac:dyDescent="0.2">
      <c r="A176" t="s">
        <v>3</v>
      </c>
      <c r="B176" t="s">
        <v>36</v>
      </c>
      <c r="C176" t="s">
        <v>25</v>
      </c>
      <c r="D176" s="2">
        <v>3339</v>
      </c>
      <c r="E176" s="3">
        <v>39</v>
      </c>
    </row>
    <row r="177" spans="1:5" x14ac:dyDescent="0.2">
      <c r="A177" t="s">
        <v>10</v>
      </c>
      <c r="B177" t="s">
        <v>35</v>
      </c>
      <c r="C177" t="s">
        <v>18</v>
      </c>
      <c r="D177" s="2">
        <v>3808</v>
      </c>
      <c r="E177" s="3">
        <v>279</v>
      </c>
    </row>
    <row r="178" spans="1:5" x14ac:dyDescent="0.2">
      <c r="A178" t="s">
        <v>10</v>
      </c>
      <c r="B178" t="s">
        <v>38</v>
      </c>
      <c r="C178" t="s">
        <v>13</v>
      </c>
      <c r="D178" s="2">
        <v>63</v>
      </c>
      <c r="E178" s="3">
        <v>123</v>
      </c>
    </row>
    <row r="179" spans="1:5" x14ac:dyDescent="0.2">
      <c r="A179" t="s">
        <v>3</v>
      </c>
      <c r="B179" t="s">
        <v>36</v>
      </c>
      <c r="C179" t="s">
        <v>28</v>
      </c>
      <c r="D179" s="2">
        <v>973</v>
      </c>
      <c r="E179" s="3">
        <v>162</v>
      </c>
    </row>
    <row r="180" spans="1:5" x14ac:dyDescent="0.2">
      <c r="A180" t="s">
        <v>10</v>
      </c>
      <c r="B180" t="s">
        <v>35</v>
      </c>
      <c r="C180" t="s">
        <v>21</v>
      </c>
      <c r="D180" s="2">
        <v>567</v>
      </c>
      <c r="E180" s="3">
        <v>228</v>
      </c>
    </row>
    <row r="181" spans="1:5" x14ac:dyDescent="0.2">
      <c r="A181" t="s">
        <v>10</v>
      </c>
      <c r="B181" t="s">
        <v>36</v>
      </c>
      <c r="C181" t="s">
        <v>29</v>
      </c>
      <c r="D181" s="2">
        <v>2471</v>
      </c>
      <c r="E181" s="3">
        <v>342</v>
      </c>
    </row>
    <row r="182" spans="1:5" x14ac:dyDescent="0.2">
      <c r="A182" t="s">
        <v>3</v>
      </c>
      <c r="B182" t="s">
        <v>34</v>
      </c>
      <c r="C182" t="s">
        <v>26</v>
      </c>
      <c r="D182" s="2">
        <v>3108</v>
      </c>
      <c r="E182" s="3">
        <v>54</v>
      </c>
    </row>
    <row r="183" spans="1:5" x14ac:dyDescent="0.2">
      <c r="A183" t="s">
        <v>6</v>
      </c>
      <c r="B183" t="s">
        <v>38</v>
      </c>
      <c r="C183" t="s">
        <v>25</v>
      </c>
      <c r="D183" s="2">
        <v>469</v>
      </c>
      <c r="E183" s="3">
        <v>75</v>
      </c>
    </row>
    <row r="184" spans="1:5" x14ac:dyDescent="0.2">
      <c r="A184" t="s">
        <v>9</v>
      </c>
      <c r="B184" t="s">
        <v>37</v>
      </c>
      <c r="C184" t="s">
        <v>23</v>
      </c>
      <c r="D184" s="2">
        <v>2737</v>
      </c>
      <c r="E184" s="3">
        <v>93</v>
      </c>
    </row>
    <row r="185" spans="1:5" x14ac:dyDescent="0.2">
      <c r="A185" t="s">
        <v>9</v>
      </c>
      <c r="B185" t="s">
        <v>38</v>
      </c>
      <c r="C185" t="s">
        <v>17</v>
      </c>
      <c r="D185" s="2">
        <v>2408</v>
      </c>
      <c r="E185" s="3">
        <v>9</v>
      </c>
    </row>
    <row r="186" spans="1:5" x14ac:dyDescent="0.2">
      <c r="A186" t="s">
        <v>3</v>
      </c>
      <c r="B186" t="s">
        <v>36</v>
      </c>
      <c r="C186" t="s">
        <v>19</v>
      </c>
      <c r="D186" s="2">
        <v>1281</v>
      </c>
      <c r="E186" s="3">
        <v>18</v>
      </c>
    </row>
    <row r="187" spans="1:5" x14ac:dyDescent="0.2">
      <c r="A187" t="s">
        <v>3</v>
      </c>
      <c r="B187" t="s">
        <v>34</v>
      </c>
      <c r="C187" t="s">
        <v>28</v>
      </c>
      <c r="D187" s="2">
        <v>3689</v>
      </c>
      <c r="E187" s="3">
        <v>312</v>
      </c>
    </row>
    <row r="188" spans="1:5" x14ac:dyDescent="0.2">
      <c r="A188" t="s">
        <v>7</v>
      </c>
      <c r="B188" t="s">
        <v>36</v>
      </c>
      <c r="C188" t="s">
        <v>19</v>
      </c>
      <c r="D188" s="2">
        <v>2870</v>
      </c>
      <c r="E188" s="3">
        <v>300</v>
      </c>
    </row>
    <row r="189" spans="1:5" x14ac:dyDescent="0.2">
      <c r="A189" t="s">
        <v>2</v>
      </c>
      <c r="B189" t="s">
        <v>36</v>
      </c>
      <c r="C189" t="s">
        <v>27</v>
      </c>
      <c r="D189" s="2">
        <v>798</v>
      </c>
      <c r="E189" s="3">
        <v>519</v>
      </c>
    </row>
    <row r="190" spans="1:5" x14ac:dyDescent="0.2">
      <c r="A190" t="s">
        <v>41</v>
      </c>
      <c r="B190" t="s">
        <v>37</v>
      </c>
      <c r="C190" t="s">
        <v>21</v>
      </c>
      <c r="D190" s="2">
        <v>2933</v>
      </c>
      <c r="E190" s="3">
        <v>9</v>
      </c>
    </row>
    <row r="191" spans="1:5" x14ac:dyDescent="0.2">
      <c r="A191" t="s">
        <v>5</v>
      </c>
      <c r="B191" t="s">
        <v>35</v>
      </c>
      <c r="C191" t="s">
        <v>4</v>
      </c>
      <c r="D191" s="2">
        <v>2744</v>
      </c>
      <c r="E191" s="3">
        <v>9</v>
      </c>
    </row>
    <row r="192" spans="1:5" x14ac:dyDescent="0.2">
      <c r="A192" t="s">
        <v>7</v>
      </c>
      <c r="B192" t="s">
        <v>34</v>
      </c>
      <c r="C192" t="s">
        <v>25</v>
      </c>
      <c r="D192" s="2">
        <v>1568</v>
      </c>
      <c r="E192" s="3">
        <v>96</v>
      </c>
    </row>
    <row r="193" spans="1:5" x14ac:dyDescent="0.2">
      <c r="A193" t="s">
        <v>10</v>
      </c>
      <c r="B193" t="s">
        <v>36</v>
      </c>
      <c r="C193" t="s">
        <v>27</v>
      </c>
      <c r="D193" s="2">
        <v>1407</v>
      </c>
      <c r="E193" s="3">
        <v>72</v>
      </c>
    </row>
    <row r="194" spans="1:5" x14ac:dyDescent="0.2">
      <c r="A194" t="s">
        <v>8</v>
      </c>
      <c r="B194" t="s">
        <v>35</v>
      </c>
      <c r="C194" t="s">
        <v>29</v>
      </c>
      <c r="D194" s="2">
        <v>2023</v>
      </c>
      <c r="E194" s="3">
        <v>168</v>
      </c>
    </row>
    <row r="195" spans="1:5" x14ac:dyDescent="0.2">
      <c r="A195" t="s">
        <v>41</v>
      </c>
      <c r="B195" t="s">
        <v>36</v>
      </c>
      <c r="C195" t="s">
        <v>19</v>
      </c>
      <c r="D195" s="2">
        <v>1925</v>
      </c>
      <c r="E195" s="3">
        <v>192</v>
      </c>
    </row>
    <row r="196" spans="1:5" x14ac:dyDescent="0.2">
      <c r="A196" t="s">
        <v>10</v>
      </c>
      <c r="B196" t="s">
        <v>34</v>
      </c>
      <c r="C196" t="s">
        <v>25</v>
      </c>
      <c r="D196" s="2">
        <v>1428</v>
      </c>
      <c r="E196" s="3">
        <v>93</v>
      </c>
    </row>
    <row r="197" spans="1:5" x14ac:dyDescent="0.2">
      <c r="A197" t="s">
        <v>6</v>
      </c>
      <c r="B197" t="s">
        <v>34</v>
      </c>
      <c r="C197" t="s">
        <v>4</v>
      </c>
      <c r="D197" s="2">
        <v>525</v>
      </c>
      <c r="E197" s="3">
        <v>48</v>
      </c>
    </row>
    <row r="198" spans="1:5" x14ac:dyDescent="0.2">
      <c r="A198" t="s">
        <v>6</v>
      </c>
      <c r="B198" t="s">
        <v>37</v>
      </c>
      <c r="C198" t="s">
        <v>18</v>
      </c>
      <c r="D198" s="2">
        <v>1505</v>
      </c>
      <c r="E198" s="3">
        <v>102</v>
      </c>
    </row>
    <row r="199" spans="1:5" x14ac:dyDescent="0.2">
      <c r="A199" t="s">
        <v>40</v>
      </c>
      <c r="B199" t="s">
        <v>38</v>
      </c>
      <c r="C199" t="s">
        <v>25</v>
      </c>
      <c r="D199" s="2">
        <v>2541</v>
      </c>
      <c r="E199" s="3">
        <v>90</v>
      </c>
    </row>
    <row r="200" spans="1:5" x14ac:dyDescent="0.2">
      <c r="A200" t="s">
        <v>41</v>
      </c>
      <c r="B200" t="s">
        <v>37</v>
      </c>
      <c r="C200" t="s">
        <v>30</v>
      </c>
      <c r="D200" s="2">
        <v>1526</v>
      </c>
      <c r="E200" s="3">
        <v>240</v>
      </c>
    </row>
    <row r="201" spans="1:5" x14ac:dyDescent="0.2">
      <c r="A201" t="s">
        <v>41</v>
      </c>
      <c r="B201" t="s">
        <v>35</v>
      </c>
      <c r="C201" t="s">
        <v>27</v>
      </c>
      <c r="D201" s="2">
        <v>847</v>
      </c>
      <c r="E201" s="3">
        <v>129</v>
      </c>
    </row>
    <row r="202" spans="1:5" x14ac:dyDescent="0.2">
      <c r="A202" t="s">
        <v>6</v>
      </c>
      <c r="B202" t="s">
        <v>38</v>
      </c>
      <c r="C202" t="s">
        <v>33</v>
      </c>
      <c r="D202" s="2">
        <v>959</v>
      </c>
      <c r="E202" s="3">
        <v>135</v>
      </c>
    </row>
    <row r="203" spans="1:5" x14ac:dyDescent="0.2">
      <c r="A203" t="s">
        <v>7</v>
      </c>
      <c r="B203" t="s">
        <v>35</v>
      </c>
      <c r="C203" t="s">
        <v>24</v>
      </c>
      <c r="D203" s="2">
        <v>2793</v>
      </c>
      <c r="E203" s="3">
        <v>114</v>
      </c>
    </row>
    <row r="204" spans="1:5" x14ac:dyDescent="0.2">
      <c r="A204" t="s">
        <v>8</v>
      </c>
      <c r="B204" t="s">
        <v>38</v>
      </c>
      <c r="C204" t="s">
        <v>22</v>
      </c>
      <c r="D204" s="2">
        <v>168</v>
      </c>
      <c r="E204" s="3">
        <v>84</v>
      </c>
    </row>
    <row r="205" spans="1:5" x14ac:dyDescent="0.2">
      <c r="A205" t="s">
        <v>5</v>
      </c>
      <c r="B205" t="s">
        <v>36</v>
      </c>
      <c r="C205" t="s">
        <v>17</v>
      </c>
      <c r="D205" s="2">
        <v>3339</v>
      </c>
      <c r="E205" s="3">
        <v>348</v>
      </c>
    </row>
    <row r="206" spans="1:5" x14ac:dyDescent="0.2">
      <c r="A206" t="s">
        <v>5</v>
      </c>
      <c r="B206" t="s">
        <v>37</v>
      </c>
      <c r="C206" t="s">
        <v>22</v>
      </c>
      <c r="D206" s="2">
        <v>518</v>
      </c>
      <c r="E206" s="3">
        <v>75</v>
      </c>
    </row>
    <row r="207" spans="1:5" x14ac:dyDescent="0.2">
      <c r="A207" t="s">
        <v>8</v>
      </c>
      <c r="B207" t="s">
        <v>38</v>
      </c>
      <c r="C207" t="s">
        <v>32</v>
      </c>
      <c r="D207" s="2">
        <v>3752</v>
      </c>
      <c r="E207" s="3">
        <v>213</v>
      </c>
    </row>
    <row r="208" spans="1:5" x14ac:dyDescent="0.2">
      <c r="A208" t="s">
        <v>9</v>
      </c>
      <c r="B208" t="s">
        <v>37</v>
      </c>
      <c r="C208" t="s">
        <v>4</v>
      </c>
      <c r="D208" s="2">
        <v>259</v>
      </c>
      <c r="E208" s="3">
        <v>207</v>
      </c>
    </row>
    <row r="209" spans="1:5" x14ac:dyDescent="0.2">
      <c r="A209" t="s">
        <v>8</v>
      </c>
      <c r="B209" t="s">
        <v>37</v>
      </c>
      <c r="C209" t="s">
        <v>30</v>
      </c>
      <c r="D209" s="2">
        <v>42</v>
      </c>
      <c r="E209" s="3">
        <v>150</v>
      </c>
    </row>
    <row r="210" spans="1:5" x14ac:dyDescent="0.2">
      <c r="A210" t="s">
        <v>41</v>
      </c>
      <c r="B210" t="s">
        <v>36</v>
      </c>
      <c r="C210" t="s">
        <v>26</v>
      </c>
      <c r="D210" s="2">
        <v>98</v>
      </c>
      <c r="E210" s="3">
        <v>204</v>
      </c>
    </row>
    <row r="211" spans="1:5" x14ac:dyDescent="0.2">
      <c r="A211" t="s">
        <v>7</v>
      </c>
      <c r="B211" t="s">
        <v>35</v>
      </c>
      <c r="C211" t="s">
        <v>27</v>
      </c>
      <c r="D211" s="2">
        <v>2478</v>
      </c>
      <c r="E211" s="3">
        <v>21</v>
      </c>
    </row>
    <row r="212" spans="1:5" x14ac:dyDescent="0.2">
      <c r="A212" t="s">
        <v>8</v>
      </c>
      <c r="B212" t="s">
        <v>38</v>
      </c>
      <c r="C212" t="s">
        <v>13</v>
      </c>
      <c r="D212" s="2">
        <v>819</v>
      </c>
      <c r="E212" s="3">
        <v>510</v>
      </c>
    </row>
    <row r="213" spans="1:5" x14ac:dyDescent="0.2">
      <c r="A213" t="s">
        <v>6</v>
      </c>
      <c r="B213" t="s">
        <v>39</v>
      </c>
      <c r="C213" t="s">
        <v>29</v>
      </c>
      <c r="D213" s="2">
        <v>3052</v>
      </c>
      <c r="E213" s="3">
        <v>378</v>
      </c>
    </row>
    <row r="214" spans="1:5" x14ac:dyDescent="0.2">
      <c r="A214" t="s">
        <v>2</v>
      </c>
      <c r="B214" t="s">
        <v>39</v>
      </c>
      <c r="C214" t="s">
        <v>16</v>
      </c>
      <c r="D214" s="2">
        <v>2016</v>
      </c>
      <c r="E214" s="3">
        <v>117</v>
      </c>
    </row>
    <row r="215" spans="1:5" x14ac:dyDescent="0.2">
      <c r="A215" t="s">
        <v>8</v>
      </c>
      <c r="B215" t="s">
        <v>35</v>
      </c>
      <c r="C215" t="s">
        <v>33</v>
      </c>
      <c r="D215" s="2">
        <v>357</v>
      </c>
      <c r="E215" s="3">
        <v>126</v>
      </c>
    </row>
    <row r="216" spans="1:5" x14ac:dyDescent="0.2">
      <c r="A216" t="s">
        <v>9</v>
      </c>
      <c r="B216" t="s">
        <v>39</v>
      </c>
      <c r="C216" t="s">
        <v>25</v>
      </c>
      <c r="D216" s="2">
        <v>3192</v>
      </c>
      <c r="E216" s="3">
        <v>72</v>
      </c>
    </row>
    <row r="217" spans="1:5" x14ac:dyDescent="0.2">
      <c r="A217" t="s">
        <v>40</v>
      </c>
      <c r="B217" t="s">
        <v>39</v>
      </c>
      <c r="C217" t="s">
        <v>29</v>
      </c>
      <c r="D217" s="2">
        <v>0</v>
      </c>
      <c r="E217" s="3">
        <v>135</v>
      </c>
    </row>
    <row r="218" spans="1:5" x14ac:dyDescent="0.2">
      <c r="A218" t="s">
        <v>6</v>
      </c>
      <c r="B218" t="s">
        <v>37</v>
      </c>
      <c r="C218" t="s">
        <v>28</v>
      </c>
      <c r="D218" s="2">
        <v>3556</v>
      </c>
      <c r="E218" s="3">
        <v>459</v>
      </c>
    </row>
    <row r="219" spans="1:5" x14ac:dyDescent="0.2">
      <c r="A219" t="s">
        <v>6</v>
      </c>
      <c r="B219" t="s">
        <v>34</v>
      </c>
      <c r="C219" t="s">
        <v>30</v>
      </c>
      <c r="D219" s="2">
        <v>3402</v>
      </c>
      <c r="E219" s="3">
        <v>366</v>
      </c>
    </row>
    <row r="220" spans="1:5" x14ac:dyDescent="0.2">
      <c r="A220" t="s">
        <v>40</v>
      </c>
      <c r="B220" t="s">
        <v>35</v>
      </c>
      <c r="C220" t="s">
        <v>30</v>
      </c>
      <c r="D220" s="2">
        <v>2275</v>
      </c>
      <c r="E220" s="3">
        <v>447</v>
      </c>
    </row>
    <row r="221" spans="1:5" x14ac:dyDescent="0.2">
      <c r="A221" t="s">
        <v>7</v>
      </c>
      <c r="B221" t="s">
        <v>35</v>
      </c>
      <c r="C221" t="s">
        <v>16</v>
      </c>
      <c r="D221" s="2">
        <v>2135</v>
      </c>
      <c r="E221" s="3">
        <v>27</v>
      </c>
    </row>
    <row r="222" spans="1:5" x14ac:dyDescent="0.2">
      <c r="A222" t="s">
        <v>40</v>
      </c>
      <c r="B222" t="s">
        <v>34</v>
      </c>
      <c r="C222" t="s">
        <v>23</v>
      </c>
      <c r="D222" s="2">
        <v>2779</v>
      </c>
      <c r="E222" s="3">
        <v>75</v>
      </c>
    </row>
    <row r="223" spans="1:5" x14ac:dyDescent="0.2">
      <c r="A223" t="s">
        <v>7</v>
      </c>
      <c r="B223" t="s">
        <v>36</v>
      </c>
      <c r="C223" t="s">
        <v>18</v>
      </c>
      <c r="D223" s="2">
        <v>2646</v>
      </c>
      <c r="E223" s="3">
        <v>177</v>
      </c>
    </row>
    <row r="224" spans="1:5" x14ac:dyDescent="0.2">
      <c r="A224" t="s">
        <v>40</v>
      </c>
      <c r="B224" t="s">
        <v>34</v>
      </c>
      <c r="C224" t="s">
        <v>33</v>
      </c>
      <c r="D224" s="2">
        <v>3794</v>
      </c>
      <c r="E224" s="3">
        <v>159</v>
      </c>
    </row>
    <row r="225" spans="1:5" x14ac:dyDescent="0.2">
      <c r="A225" t="s">
        <v>3</v>
      </c>
      <c r="B225" t="s">
        <v>35</v>
      </c>
      <c r="C225" t="s">
        <v>33</v>
      </c>
      <c r="D225" s="2">
        <v>819</v>
      </c>
      <c r="E225" s="3">
        <v>306</v>
      </c>
    </row>
    <row r="226" spans="1:5" x14ac:dyDescent="0.2">
      <c r="A226" t="s">
        <v>3</v>
      </c>
      <c r="B226" t="s">
        <v>34</v>
      </c>
      <c r="C226" t="s">
        <v>20</v>
      </c>
      <c r="D226" s="2">
        <v>2583</v>
      </c>
      <c r="E226" s="3">
        <v>18</v>
      </c>
    </row>
    <row r="227" spans="1:5" x14ac:dyDescent="0.2">
      <c r="A227" t="s">
        <v>5</v>
      </c>
      <c r="B227" t="s">
        <v>34</v>
      </c>
      <c r="C227" t="s">
        <v>33</v>
      </c>
      <c r="D227" s="2">
        <v>1652</v>
      </c>
      <c r="E227" s="3">
        <v>93</v>
      </c>
    </row>
    <row r="228" spans="1:5" x14ac:dyDescent="0.2">
      <c r="A228" t="s">
        <v>8</v>
      </c>
      <c r="B228" t="s">
        <v>34</v>
      </c>
      <c r="C228" t="s">
        <v>16</v>
      </c>
      <c r="D228" s="2">
        <v>2009</v>
      </c>
      <c r="E228" s="3">
        <v>219</v>
      </c>
    </row>
    <row r="229" spans="1:5" x14ac:dyDescent="0.2">
      <c r="A229" t="s">
        <v>2</v>
      </c>
      <c r="B229" t="s">
        <v>39</v>
      </c>
      <c r="C229" t="s">
        <v>22</v>
      </c>
      <c r="D229" s="2">
        <v>1568</v>
      </c>
      <c r="E229" s="3">
        <v>141</v>
      </c>
    </row>
    <row r="230" spans="1:5" x14ac:dyDescent="0.2">
      <c r="A230" t="s">
        <v>41</v>
      </c>
      <c r="B230" t="s">
        <v>37</v>
      </c>
      <c r="C230" t="s">
        <v>20</v>
      </c>
      <c r="D230" s="2">
        <v>3388</v>
      </c>
      <c r="E230" s="3">
        <v>123</v>
      </c>
    </row>
    <row r="231" spans="1:5" x14ac:dyDescent="0.2">
      <c r="A231" t="s">
        <v>40</v>
      </c>
      <c r="B231" t="s">
        <v>38</v>
      </c>
      <c r="C231" t="s">
        <v>24</v>
      </c>
      <c r="D231" s="2">
        <v>623</v>
      </c>
      <c r="E231" s="3">
        <v>51</v>
      </c>
    </row>
    <row r="232" spans="1:5" x14ac:dyDescent="0.2">
      <c r="A232" t="s">
        <v>8</v>
      </c>
      <c r="B232" t="s">
        <v>39</v>
      </c>
      <c r="C232" t="s">
        <v>26</v>
      </c>
      <c r="D232" s="2">
        <v>1561</v>
      </c>
      <c r="E232" s="3">
        <v>27</v>
      </c>
    </row>
    <row r="233" spans="1:5" x14ac:dyDescent="0.2">
      <c r="A233" t="s">
        <v>6</v>
      </c>
      <c r="B233" t="s">
        <v>38</v>
      </c>
      <c r="C233" t="s">
        <v>13</v>
      </c>
      <c r="D233" s="2">
        <v>2317</v>
      </c>
      <c r="E233" s="3">
        <v>123</v>
      </c>
    </row>
    <row r="234" spans="1:5" x14ac:dyDescent="0.2">
      <c r="A234" t="s">
        <v>10</v>
      </c>
      <c r="B234" t="s">
        <v>37</v>
      </c>
      <c r="C234" t="s">
        <v>28</v>
      </c>
      <c r="D234" s="2">
        <v>3059</v>
      </c>
      <c r="E234" s="3">
        <v>27</v>
      </c>
    </row>
    <row r="235" spans="1:5" x14ac:dyDescent="0.2">
      <c r="A235" t="s">
        <v>41</v>
      </c>
      <c r="B235" t="s">
        <v>37</v>
      </c>
      <c r="C235" t="s">
        <v>26</v>
      </c>
      <c r="D235" s="2">
        <v>2324</v>
      </c>
      <c r="E235" s="3">
        <v>177</v>
      </c>
    </row>
    <row r="236" spans="1:5" x14ac:dyDescent="0.2">
      <c r="A236" t="s">
        <v>40</v>
      </c>
      <c r="B236" t="s">
        <v>38</v>
      </c>
      <c r="C236" t="s">
        <v>29</v>
      </c>
      <c r="D236" s="2">
        <v>2541</v>
      </c>
      <c r="E236" s="3">
        <v>45</v>
      </c>
    </row>
    <row r="237" spans="1:5" x14ac:dyDescent="0.2">
      <c r="A237" t="s">
        <v>6</v>
      </c>
      <c r="B237" t="s">
        <v>35</v>
      </c>
      <c r="C237" t="s">
        <v>27</v>
      </c>
      <c r="D237" s="2">
        <v>3864</v>
      </c>
      <c r="E237" s="3">
        <v>177</v>
      </c>
    </row>
    <row r="238" spans="1:5" x14ac:dyDescent="0.2">
      <c r="A238" t="s">
        <v>9</v>
      </c>
      <c r="B238" t="s">
        <v>39</v>
      </c>
      <c r="C238" t="s">
        <v>18</v>
      </c>
      <c r="D238" s="2">
        <v>2639</v>
      </c>
      <c r="E238" s="3">
        <v>204</v>
      </c>
    </row>
    <row r="239" spans="1:5" x14ac:dyDescent="0.2">
      <c r="A239" t="s">
        <v>8</v>
      </c>
      <c r="B239" t="s">
        <v>37</v>
      </c>
      <c r="C239" t="s">
        <v>22</v>
      </c>
      <c r="D239" s="2">
        <v>1890</v>
      </c>
      <c r="E239" s="3">
        <v>195</v>
      </c>
    </row>
    <row r="240" spans="1:5" x14ac:dyDescent="0.2">
      <c r="A240" t="s">
        <v>7</v>
      </c>
      <c r="B240" t="s">
        <v>34</v>
      </c>
      <c r="C240" t="s">
        <v>14</v>
      </c>
      <c r="D240" s="2">
        <v>1932</v>
      </c>
      <c r="E240" s="3">
        <v>369</v>
      </c>
    </row>
    <row r="241" spans="1:5" x14ac:dyDescent="0.2">
      <c r="A241" t="s">
        <v>6</v>
      </c>
      <c r="B241" t="s">
        <v>37</v>
      </c>
      <c r="C241" t="s">
        <v>30</v>
      </c>
      <c r="D241" s="2">
        <v>560</v>
      </c>
      <c r="E241" s="3">
        <v>81</v>
      </c>
    </row>
    <row r="242" spans="1:5" x14ac:dyDescent="0.2">
      <c r="A242" t="s">
        <v>9</v>
      </c>
      <c r="B242" t="s">
        <v>37</v>
      </c>
      <c r="C242" t="s">
        <v>26</v>
      </c>
      <c r="D242" s="2">
        <v>2856</v>
      </c>
      <c r="E242" s="3">
        <v>246</v>
      </c>
    </row>
    <row r="243" spans="1:5" x14ac:dyDescent="0.2">
      <c r="A243" t="s">
        <v>9</v>
      </c>
      <c r="B243" t="s">
        <v>34</v>
      </c>
      <c r="C243" t="s">
        <v>17</v>
      </c>
      <c r="D243" s="2">
        <v>707</v>
      </c>
      <c r="E243" s="3">
        <v>174</v>
      </c>
    </row>
    <row r="244" spans="1:5" x14ac:dyDescent="0.2">
      <c r="A244" t="s">
        <v>8</v>
      </c>
      <c r="B244" t="s">
        <v>35</v>
      </c>
      <c r="C244" t="s">
        <v>30</v>
      </c>
      <c r="D244" s="2">
        <v>3598</v>
      </c>
      <c r="E244" s="3">
        <v>81</v>
      </c>
    </row>
    <row r="245" spans="1:5" x14ac:dyDescent="0.2">
      <c r="A245" t="s">
        <v>41</v>
      </c>
      <c r="B245" t="s">
        <v>34</v>
      </c>
      <c r="C245" t="s">
        <v>16</v>
      </c>
      <c r="D245" s="2">
        <v>1274</v>
      </c>
      <c r="E245" s="3">
        <v>225</v>
      </c>
    </row>
    <row r="246" spans="1:5" x14ac:dyDescent="0.2">
      <c r="A246" t="s">
        <v>5</v>
      </c>
      <c r="B246" t="s">
        <v>36</v>
      </c>
      <c r="C246" t="s">
        <v>30</v>
      </c>
      <c r="D246" s="2">
        <v>1526</v>
      </c>
      <c r="E246" s="3">
        <v>105</v>
      </c>
    </row>
    <row r="247" spans="1:5" x14ac:dyDescent="0.2">
      <c r="A247" t="s">
        <v>40</v>
      </c>
      <c r="B247" t="s">
        <v>39</v>
      </c>
      <c r="C247" t="s">
        <v>28</v>
      </c>
      <c r="D247" s="2">
        <v>3101</v>
      </c>
      <c r="E247" s="3">
        <v>225</v>
      </c>
    </row>
    <row r="248" spans="1:5" x14ac:dyDescent="0.2">
      <c r="A248" t="s">
        <v>2</v>
      </c>
      <c r="B248" t="s">
        <v>37</v>
      </c>
      <c r="C248" t="s">
        <v>14</v>
      </c>
      <c r="D248" s="2">
        <v>1057</v>
      </c>
      <c r="E248" s="3">
        <v>54</v>
      </c>
    </row>
    <row r="249" spans="1:5" x14ac:dyDescent="0.2">
      <c r="A249" t="s">
        <v>5</v>
      </c>
      <c r="B249" t="s">
        <v>39</v>
      </c>
      <c r="C249" t="s">
        <v>24</v>
      </c>
      <c r="D249" s="2">
        <v>4018</v>
      </c>
      <c r="E249" s="3">
        <v>171</v>
      </c>
    </row>
    <row r="250" spans="1:5" x14ac:dyDescent="0.2">
      <c r="A250" t="s">
        <v>9</v>
      </c>
      <c r="B250" t="s">
        <v>34</v>
      </c>
      <c r="C250" t="s">
        <v>16</v>
      </c>
      <c r="D250" s="2">
        <v>938</v>
      </c>
      <c r="E250" s="3">
        <v>189</v>
      </c>
    </row>
    <row r="251" spans="1:5" x14ac:dyDescent="0.2">
      <c r="A251" t="s">
        <v>7</v>
      </c>
      <c r="B251" t="s">
        <v>38</v>
      </c>
      <c r="C251" t="s">
        <v>18</v>
      </c>
      <c r="D251" s="2">
        <v>1778</v>
      </c>
      <c r="E251" s="3">
        <v>270</v>
      </c>
    </row>
    <row r="252" spans="1:5" x14ac:dyDescent="0.2">
      <c r="A252" t="s">
        <v>6</v>
      </c>
      <c r="B252" t="s">
        <v>39</v>
      </c>
      <c r="C252" t="s">
        <v>30</v>
      </c>
      <c r="D252" s="2">
        <v>1638</v>
      </c>
      <c r="E252" s="3">
        <v>63</v>
      </c>
    </row>
    <row r="253" spans="1:5" x14ac:dyDescent="0.2">
      <c r="A253" t="s">
        <v>41</v>
      </c>
      <c r="B253" t="s">
        <v>38</v>
      </c>
      <c r="C253" t="s">
        <v>25</v>
      </c>
      <c r="D253" s="2">
        <v>154</v>
      </c>
      <c r="E253" s="3">
        <v>21</v>
      </c>
    </row>
    <row r="254" spans="1:5" x14ac:dyDescent="0.2">
      <c r="A254" t="s">
        <v>9</v>
      </c>
      <c r="B254" t="s">
        <v>39</v>
      </c>
      <c r="C254" t="s">
        <v>24</v>
      </c>
      <c r="D254" s="2">
        <v>3920</v>
      </c>
      <c r="E254" s="3">
        <v>306</v>
      </c>
    </row>
    <row r="255" spans="1:5" x14ac:dyDescent="0.2">
      <c r="A255" t="s">
        <v>2</v>
      </c>
      <c r="B255" t="s">
        <v>38</v>
      </c>
      <c r="C255" t="s">
        <v>4</v>
      </c>
      <c r="D255" s="2">
        <v>3549</v>
      </c>
      <c r="E255" s="3">
        <v>3</v>
      </c>
    </row>
    <row r="256" spans="1:5" x14ac:dyDescent="0.2">
      <c r="A256" t="s">
        <v>7</v>
      </c>
      <c r="B256" t="s">
        <v>39</v>
      </c>
      <c r="C256" t="s">
        <v>27</v>
      </c>
      <c r="D256" s="2">
        <v>966</v>
      </c>
      <c r="E256" s="3">
        <v>198</v>
      </c>
    </row>
    <row r="257" spans="1:5" x14ac:dyDescent="0.2">
      <c r="A257" t="s">
        <v>5</v>
      </c>
      <c r="B257" t="s">
        <v>39</v>
      </c>
      <c r="C257" t="s">
        <v>18</v>
      </c>
      <c r="D257" s="2">
        <v>385</v>
      </c>
      <c r="E257" s="3">
        <v>249</v>
      </c>
    </row>
    <row r="258" spans="1:5" x14ac:dyDescent="0.2">
      <c r="A258" t="s">
        <v>6</v>
      </c>
      <c r="B258" t="s">
        <v>34</v>
      </c>
      <c r="C258" t="s">
        <v>16</v>
      </c>
      <c r="D258" s="2">
        <v>2219</v>
      </c>
      <c r="E258" s="3">
        <v>75</v>
      </c>
    </row>
    <row r="259" spans="1:5" x14ac:dyDescent="0.2">
      <c r="A259" t="s">
        <v>9</v>
      </c>
      <c r="B259" t="s">
        <v>36</v>
      </c>
      <c r="C259" t="s">
        <v>32</v>
      </c>
      <c r="D259" s="2">
        <v>2954</v>
      </c>
      <c r="E259" s="3">
        <v>189</v>
      </c>
    </row>
    <row r="260" spans="1:5" x14ac:dyDescent="0.2">
      <c r="A260" t="s">
        <v>7</v>
      </c>
      <c r="B260" t="s">
        <v>36</v>
      </c>
      <c r="C260" t="s">
        <v>32</v>
      </c>
      <c r="D260" s="2">
        <v>280</v>
      </c>
      <c r="E260" s="3">
        <v>87</v>
      </c>
    </row>
    <row r="261" spans="1:5" x14ac:dyDescent="0.2">
      <c r="A261" t="s">
        <v>3</v>
      </c>
      <c r="B261" t="s">
        <v>35</v>
      </c>
      <c r="C261" t="s">
        <v>23</v>
      </c>
      <c r="D261" s="2">
        <v>2023</v>
      </c>
      <c r="E261" s="3">
        <v>78</v>
      </c>
    </row>
    <row r="262" spans="1:5" x14ac:dyDescent="0.2">
      <c r="A262" t="s">
        <v>9</v>
      </c>
      <c r="B262" t="s">
        <v>37</v>
      </c>
      <c r="C262" t="s">
        <v>28</v>
      </c>
      <c r="D262" s="2">
        <v>2919</v>
      </c>
      <c r="E262" s="3">
        <v>45</v>
      </c>
    </row>
    <row r="263" spans="1:5" x14ac:dyDescent="0.2">
      <c r="A263" t="s">
        <v>10</v>
      </c>
      <c r="B263" t="s">
        <v>35</v>
      </c>
      <c r="C263" t="s">
        <v>15</v>
      </c>
      <c r="D263" s="2">
        <v>2562</v>
      </c>
      <c r="E263" s="3">
        <v>6</v>
      </c>
    </row>
    <row r="264" spans="1:5" x14ac:dyDescent="0.2">
      <c r="A264" t="s">
        <v>8</v>
      </c>
      <c r="B264" t="s">
        <v>34</v>
      </c>
      <c r="C264" t="s">
        <v>31</v>
      </c>
      <c r="D264" s="2">
        <v>3507</v>
      </c>
      <c r="E264" s="3">
        <v>288</v>
      </c>
    </row>
    <row r="265" spans="1:5" x14ac:dyDescent="0.2">
      <c r="A265" t="s">
        <v>40</v>
      </c>
      <c r="B265" t="s">
        <v>38</v>
      </c>
      <c r="C265" t="s">
        <v>26</v>
      </c>
      <c r="D265" s="2">
        <v>609</v>
      </c>
      <c r="E265" s="3">
        <v>87</v>
      </c>
    </row>
    <row r="266" spans="1:5" x14ac:dyDescent="0.2">
      <c r="A266" t="s">
        <v>40</v>
      </c>
      <c r="B266" t="s">
        <v>36</v>
      </c>
      <c r="C266" t="s">
        <v>27</v>
      </c>
      <c r="D266" s="2">
        <v>3164</v>
      </c>
      <c r="E266" s="3">
        <v>306</v>
      </c>
    </row>
    <row r="267" spans="1:5" x14ac:dyDescent="0.2">
      <c r="A267" t="s">
        <v>6</v>
      </c>
      <c r="B267" t="s">
        <v>35</v>
      </c>
      <c r="C267" t="s">
        <v>4</v>
      </c>
      <c r="D267" s="2">
        <v>1302</v>
      </c>
      <c r="E267" s="3">
        <v>402</v>
      </c>
    </row>
    <row r="268" spans="1:5" x14ac:dyDescent="0.2">
      <c r="A268" t="s">
        <v>10</v>
      </c>
      <c r="B268" t="s">
        <v>35</v>
      </c>
      <c r="C268" t="s">
        <v>14</v>
      </c>
      <c r="D268" s="2">
        <v>3472</v>
      </c>
      <c r="E268" s="3">
        <v>96</v>
      </c>
    </row>
    <row r="269" spans="1:5" x14ac:dyDescent="0.2">
      <c r="A269" t="s">
        <v>9</v>
      </c>
      <c r="B269" t="s">
        <v>38</v>
      </c>
      <c r="C269" t="s">
        <v>26</v>
      </c>
      <c r="D269" s="2">
        <v>2436</v>
      </c>
      <c r="E269" s="3">
        <v>99</v>
      </c>
    </row>
    <row r="270" spans="1:5" x14ac:dyDescent="0.2">
      <c r="A270" t="s">
        <v>10</v>
      </c>
      <c r="B270" t="s">
        <v>37</v>
      </c>
      <c r="C270" t="s">
        <v>21</v>
      </c>
      <c r="D270" s="2">
        <v>245</v>
      </c>
      <c r="E270" s="3">
        <v>288</v>
      </c>
    </row>
    <row r="271" spans="1:5" x14ac:dyDescent="0.2">
      <c r="A271" t="s">
        <v>8</v>
      </c>
      <c r="B271" t="s">
        <v>35</v>
      </c>
      <c r="C271" t="s">
        <v>20</v>
      </c>
      <c r="D271" s="2">
        <v>2702</v>
      </c>
      <c r="E271" s="3">
        <v>363</v>
      </c>
    </row>
    <row r="272" spans="1:5" x14ac:dyDescent="0.2">
      <c r="A272" t="s">
        <v>10</v>
      </c>
      <c r="B272" t="s">
        <v>34</v>
      </c>
      <c r="C272" t="s">
        <v>17</v>
      </c>
      <c r="D272" s="2">
        <v>700</v>
      </c>
      <c r="E272" s="3">
        <v>87</v>
      </c>
    </row>
    <row r="273" spans="1:5" x14ac:dyDescent="0.2">
      <c r="A273" t="s">
        <v>6</v>
      </c>
      <c r="B273" t="s">
        <v>34</v>
      </c>
      <c r="C273" t="s">
        <v>17</v>
      </c>
      <c r="D273" s="2">
        <v>3759</v>
      </c>
      <c r="E273" s="3">
        <v>150</v>
      </c>
    </row>
    <row r="274" spans="1:5" x14ac:dyDescent="0.2">
      <c r="A274" t="s">
        <v>2</v>
      </c>
      <c r="B274" t="s">
        <v>35</v>
      </c>
      <c r="C274" t="s">
        <v>17</v>
      </c>
      <c r="D274" s="2">
        <v>1589</v>
      </c>
      <c r="E274" s="3">
        <v>303</v>
      </c>
    </row>
    <row r="275" spans="1:5" x14ac:dyDescent="0.2">
      <c r="A275" t="s">
        <v>10</v>
      </c>
      <c r="B275" t="s">
        <v>36</v>
      </c>
      <c r="C275" t="s">
        <v>13</v>
      </c>
      <c r="D275" s="2">
        <v>945</v>
      </c>
      <c r="E275" s="3">
        <v>75</v>
      </c>
    </row>
    <row r="276" spans="1:5" x14ac:dyDescent="0.2">
      <c r="A276" t="s">
        <v>40</v>
      </c>
      <c r="B276" t="s">
        <v>38</v>
      </c>
      <c r="C276" t="s">
        <v>31</v>
      </c>
      <c r="D276" s="2">
        <v>1988</v>
      </c>
      <c r="E276" s="3">
        <v>39</v>
      </c>
    </row>
    <row r="277" spans="1:5" x14ac:dyDescent="0.2">
      <c r="A277" t="s">
        <v>40</v>
      </c>
      <c r="B277" t="s">
        <v>36</v>
      </c>
      <c r="C277" t="s">
        <v>4</v>
      </c>
      <c r="D277" s="2">
        <v>217</v>
      </c>
      <c r="E277" s="3">
        <v>36</v>
      </c>
    </row>
    <row r="278" spans="1:5" x14ac:dyDescent="0.2">
      <c r="A278" t="s">
        <v>2</v>
      </c>
      <c r="B278" t="s">
        <v>36</v>
      </c>
      <c r="C278" t="s">
        <v>17</v>
      </c>
      <c r="D278" s="2">
        <v>189</v>
      </c>
      <c r="E278" s="3">
        <v>48</v>
      </c>
    </row>
    <row r="279" spans="1:5" x14ac:dyDescent="0.2">
      <c r="A279" t="s">
        <v>5</v>
      </c>
      <c r="B279" t="s">
        <v>35</v>
      </c>
      <c r="C279" t="s">
        <v>22</v>
      </c>
      <c r="D279" s="2">
        <v>490</v>
      </c>
      <c r="E279" s="3">
        <v>84</v>
      </c>
    </row>
    <row r="280" spans="1:5" x14ac:dyDescent="0.2">
      <c r="A280" t="s">
        <v>8</v>
      </c>
      <c r="B280" t="s">
        <v>37</v>
      </c>
      <c r="C280" t="s">
        <v>21</v>
      </c>
      <c r="D280" s="2">
        <v>434</v>
      </c>
      <c r="E280" s="3">
        <v>87</v>
      </c>
    </row>
    <row r="281" spans="1:5" x14ac:dyDescent="0.2">
      <c r="A281" t="s">
        <v>3</v>
      </c>
      <c r="B281" t="s">
        <v>39</v>
      </c>
      <c r="C281" t="s">
        <v>28</v>
      </c>
      <c r="D281" s="2">
        <v>1652</v>
      </c>
      <c r="E281" s="3">
        <v>102</v>
      </c>
    </row>
    <row r="282" spans="1:5" x14ac:dyDescent="0.2">
      <c r="A282" t="s">
        <v>3</v>
      </c>
      <c r="B282" t="s">
        <v>34</v>
      </c>
      <c r="C282" t="s">
        <v>23</v>
      </c>
      <c r="D282" s="2">
        <v>2212</v>
      </c>
      <c r="E282" s="3">
        <v>117</v>
      </c>
    </row>
    <row r="283" spans="1:5" x14ac:dyDescent="0.2">
      <c r="A283" t="s">
        <v>41</v>
      </c>
      <c r="B283" t="s">
        <v>35</v>
      </c>
      <c r="C283" t="s">
        <v>19</v>
      </c>
      <c r="D283" s="2">
        <v>609</v>
      </c>
      <c r="E283" s="3">
        <v>99</v>
      </c>
    </row>
    <row r="284" spans="1:5" x14ac:dyDescent="0.2">
      <c r="A284" t="s">
        <v>40</v>
      </c>
      <c r="B284" t="s">
        <v>35</v>
      </c>
      <c r="C284" t="s">
        <v>24</v>
      </c>
      <c r="D284" s="2">
        <v>1638</v>
      </c>
      <c r="E284" s="3">
        <v>48</v>
      </c>
    </row>
    <row r="285" spans="1:5" x14ac:dyDescent="0.2">
      <c r="A285" t="s">
        <v>7</v>
      </c>
      <c r="B285" t="s">
        <v>34</v>
      </c>
      <c r="C285" t="s">
        <v>15</v>
      </c>
      <c r="D285" s="2">
        <v>3829</v>
      </c>
      <c r="E285" s="3">
        <v>24</v>
      </c>
    </row>
    <row r="286" spans="1:5" x14ac:dyDescent="0.2">
      <c r="A286" t="s">
        <v>6</v>
      </c>
      <c r="B286" t="s">
        <v>35</v>
      </c>
      <c r="C286" t="s">
        <v>20</v>
      </c>
      <c r="D286" s="2">
        <v>1071</v>
      </c>
      <c r="E286" s="3">
        <v>270</v>
      </c>
    </row>
    <row r="287" spans="1:5" x14ac:dyDescent="0.2">
      <c r="A287" t="s">
        <v>2</v>
      </c>
      <c r="B287" t="s">
        <v>37</v>
      </c>
      <c r="C287" t="s">
        <v>15</v>
      </c>
      <c r="D287" s="2">
        <v>2863</v>
      </c>
      <c r="E287" s="3">
        <v>42</v>
      </c>
    </row>
    <row r="288" spans="1:5" x14ac:dyDescent="0.2">
      <c r="A288" t="s">
        <v>40</v>
      </c>
      <c r="B288" t="s">
        <v>35</v>
      </c>
      <c r="C288" t="s">
        <v>29</v>
      </c>
      <c r="D288" s="2">
        <v>1617</v>
      </c>
      <c r="E288" s="3">
        <v>126</v>
      </c>
    </row>
    <row r="289" spans="1:5" x14ac:dyDescent="0.2">
      <c r="A289" t="s">
        <v>3</v>
      </c>
      <c r="B289" t="s">
        <v>34</v>
      </c>
      <c r="C289" t="s">
        <v>17</v>
      </c>
      <c r="D289" s="2">
        <v>2919</v>
      </c>
      <c r="E289" s="3">
        <v>93</v>
      </c>
    </row>
    <row r="290" spans="1:5" x14ac:dyDescent="0.2">
      <c r="A290" t="s">
        <v>2</v>
      </c>
      <c r="B290" t="s">
        <v>36</v>
      </c>
      <c r="C290" t="s">
        <v>31</v>
      </c>
      <c r="D290" s="2">
        <v>3094</v>
      </c>
      <c r="E290" s="3">
        <v>246</v>
      </c>
    </row>
    <row r="291" spans="1:5" x14ac:dyDescent="0.2">
      <c r="A291" t="s">
        <v>6</v>
      </c>
      <c r="B291" t="s">
        <v>39</v>
      </c>
      <c r="C291" t="s">
        <v>24</v>
      </c>
      <c r="D291" s="2">
        <v>2989</v>
      </c>
      <c r="E291" s="3">
        <v>3</v>
      </c>
    </row>
    <row r="292" spans="1:5" x14ac:dyDescent="0.2">
      <c r="A292" t="s">
        <v>8</v>
      </c>
      <c r="B292" t="s">
        <v>38</v>
      </c>
      <c r="C292" t="s">
        <v>27</v>
      </c>
      <c r="D292" s="2">
        <v>2268</v>
      </c>
      <c r="E292" s="3">
        <v>63</v>
      </c>
    </row>
    <row r="293" spans="1:5" x14ac:dyDescent="0.2">
      <c r="A293" t="s">
        <v>6</v>
      </c>
      <c r="B293" t="s">
        <v>36</v>
      </c>
      <c r="C293" t="s">
        <v>29</v>
      </c>
      <c r="D293" s="2">
        <v>1400</v>
      </c>
      <c r="E293" s="3">
        <v>135</v>
      </c>
    </row>
    <row r="294" spans="1:5" x14ac:dyDescent="0.2">
      <c r="A294" t="s">
        <v>10</v>
      </c>
      <c r="B294" t="s">
        <v>34</v>
      </c>
      <c r="C294" t="s">
        <v>22</v>
      </c>
      <c r="D294" s="2">
        <v>4053</v>
      </c>
      <c r="E294" s="3">
        <v>24</v>
      </c>
    </row>
    <row r="295" spans="1:5" x14ac:dyDescent="0.2">
      <c r="A295" t="s">
        <v>7</v>
      </c>
      <c r="B295" t="s">
        <v>36</v>
      </c>
      <c r="C295" t="s">
        <v>31</v>
      </c>
      <c r="D295" s="2">
        <v>2149</v>
      </c>
      <c r="E295" s="3">
        <v>117</v>
      </c>
    </row>
    <row r="296" spans="1:5" x14ac:dyDescent="0.2">
      <c r="A296" t="s">
        <v>3</v>
      </c>
      <c r="B296" t="s">
        <v>39</v>
      </c>
      <c r="C296" t="s">
        <v>29</v>
      </c>
      <c r="D296" s="2">
        <v>3640</v>
      </c>
      <c r="E296" s="3">
        <v>51</v>
      </c>
    </row>
    <row r="297" spans="1:5" x14ac:dyDescent="0.2">
      <c r="A297" t="s">
        <v>2</v>
      </c>
      <c r="B297" t="s">
        <v>39</v>
      </c>
      <c r="C297" t="s">
        <v>23</v>
      </c>
      <c r="D297" s="2">
        <v>630</v>
      </c>
      <c r="E297" s="3">
        <v>36</v>
      </c>
    </row>
    <row r="298" spans="1:5" x14ac:dyDescent="0.2">
      <c r="A298" t="s">
        <v>9</v>
      </c>
      <c r="B298" t="s">
        <v>35</v>
      </c>
      <c r="C298" t="s">
        <v>27</v>
      </c>
      <c r="D298" s="2">
        <v>2429</v>
      </c>
      <c r="E298" s="3">
        <v>144</v>
      </c>
    </row>
    <row r="299" spans="1:5" x14ac:dyDescent="0.2">
      <c r="A299" t="s">
        <v>9</v>
      </c>
      <c r="B299" t="s">
        <v>36</v>
      </c>
      <c r="C299" t="s">
        <v>25</v>
      </c>
      <c r="D299" s="2">
        <v>2142</v>
      </c>
      <c r="E299" s="3">
        <v>114</v>
      </c>
    </row>
    <row r="300" spans="1:5" x14ac:dyDescent="0.2">
      <c r="A300" t="s">
        <v>3</v>
      </c>
      <c r="B300" t="s">
        <v>37</v>
      </c>
      <c r="C300" t="s">
        <v>4</v>
      </c>
      <c r="D300" s="2">
        <v>938</v>
      </c>
      <c r="E300" s="3">
        <v>366</v>
      </c>
    </row>
    <row r="301" spans="1:5" x14ac:dyDescent="0.2">
      <c r="A301" t="s">
        <v>2</v>
      </c>
      <c r="B301" t="s">
        <v>39</v>
      </c>
      <c r="C301" t="s">
        <v>33</v>
      </c>
      <c r="D301" s="2">
        <v>4018</v>
      </c>
      <c r="E301" s="3">
        <v>126</v>
      </c>
    </row>
    <row r="302" spans="1:5" x14ac:dyDescent="0.2">
      <c r="A302" t="s">
        <v>41</v>
      </c>
      <c r="B302" t="s">
        <v>37</v>
      </c>
      <c r="C302" t="s">
        <v>15</v>
      </c>
      <c r="D302" s="2">
        <v>714</v>
      </c>
      <c r="E302" s="3">
        <v>231</v>
      </c>
    </row>
    <row r="303" spans="1:5" x14ac:dyDescent="0.2">
      <c r="A303" t="s">
        <v>9</v>
      </c>
      <c r="B303" t="s">
        <v>38</v>
      </c>
      <c r="C303" t="s">
        <v>25</v>
      </c>
      <c r="D303" s="2">
        <v>3850</v>
      </c>
      <c r="E303" s="3">
        <v>102</v>
      </c>
    </row>
  </sheetData>
  <mergeCells count="1">
    <mergeCell ref="A1:E1"/>
  </mergeCells>
  <conditionalFormatting sqref="D3:D1048576">
    <cfRule type="colorScale" priority="1">
      <colorScale>
        <cfvo type="min"/>
        <cfvo type="percentile" val="50"/>
        <cfvo type="max"/>
        <color rgb="FFF8696B"/>
        <color rgb="FFFFEB84"/>
        <color rgb="FF63BE7B"/>
      </colorScale>
    </cfRule>
  </conditionalFormatting>
  <conditionalFormatting sqref="E3:E1048576">
    <cfRule type="dataBar" priority="6">
      <dataBar>
        <cfvo type="min"/>
        <cfvo type="max"/>
        <color rgb="FF638EC6"/>
      </dataBar>
      <extLst>
        <ext xmlns:x14="http://schemas.microsoft.com/office/spreadsheetml/2009/9/main" uri="{B025F937-C7B1-47D3-B67F-A62EFF666E3E}">
          <x14:id>{1B900DB7-DE5C-A744-B026-7B3846D9F2CB}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B900DB7-DE5C-A744-B026-7B3846D9F2CB}">
            <x14:dataBar minLength="0" maxLength="100" gradient="0">
              <x14:cfvo type="autoMin"/>
              <x14:cfvo type="autoMax"/>
              <x14:negativeFillColor rgb="FFFF0000"/>
              <x14:axisColor rgb="FF000000"/>
            </x14:dataBar>
          </x14:cfRule>
          <xm:sqref>E3:E1048576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4263C-6643-284C-9488-E2115ED66DE3}">
  <dimension ref="A1:H22"/>
  <sheetViews>
    <sheetView showGridLines="0" workbookViewId="0">
      <selection activeCell="A12" sqref="A12:D13"/>
    </sheetView>
  </sheetViews>
  <sheetFormatPr baseColWidth="10" defaultRowHeight="15" x14ac:dyDescent="0.2"/>
  <cols>
    <col min="1" max="1" width="16.33203125" bestFit="1" customWidth="1"/>
    <col min="2" max="2" width="19.33203125" bestFit="1" customWidth="1"/>
    <col min="3" max="3" width="1.83203125" bestFit="1" customWidth="1"/>
    <col min="4" max="4" width="15.6640625" bestFit="1" customWidth="1"/>
  </cols>
  <sheetData>
    <row r="1" spans="1:4" x14ac:dyDescent="0.2">
      <c r="A1" s="57" t="s">
        <v>65</v>
      </c>
      <c r="B1" s="57"/>
      <c r="C1" s="57"/>
      <c r="D1" s="57"/>
    </row>
    <row r="2" spans="1:4" x14ac:dyDescent="0.2">
      <c r="A2" s="58"/>
      <c r="B2" s="58"/>
      <c r="C2" s="58"/>
      <c r="D2" s="58"/>
    </row>
    <row r="3" spans="1:4" ht="21" x14ac:dyDescent="0.25">
      <c r="A3" s="15" t="s">
        <v>66</v>
      </c>
      <c r="B3" s="16" t="s">
        <v>1</v>
      </c>
      <c r="C3" s="16"/>
      <c r="D3" s="17" t="s">
        <v>49</v>
      </c>
    </row>
    <row r="4" spans="1:4" ht="21" x14ac:dyDescent="0.25">
      <c r="A4" s="18" t="str" cm="1">
        <f t="array" ref="A4:A9">_xlfn.UNIQUE(Data[Geography])</f>
        <v>New Zealand</v>
      </c>
      <c r="B4" s="26">
        <f>SUMIFS(Data[Amount],Data[Geography],A4)</f>
        <v>213507</v>
      </c>
      <c r="C4" s="19">
        <f>B4</f>
        <v>213507</v>
      </c>
      <c r="D4" s="20">
        <f>SUMIFS(Data[Units],Data[Geography],A4)</f>
        <v>7431</v>
      </c>
    </row>
    <row r="5" spans="1:4" ht="21" x14ac:dyDescent="0.25">
      <c r="A5" s="18" t="str">
        <v>USA</v>
      </c>
      <c r="B5" s="26">
        <f>SUMIFS(Data[Amount],Data[Geography],A5)</f>
        <v>189434</v>
      </c>
      <c r="C5" s="19">
        <f t="shared" ref="C5:C9" si="0">B5</f>
        <v>189434</v>
      </c>
      <c r="D5" s="20">
        <f>SUMIFS(Data[Units],Data[Geography],A5)</f>
        <v>10158</v>
      </c>
    </row>
    <row r="6" spans="1:4" ht="21" x14ac:dyDescent="0.25">
      <c r="A6" s="18" t="str">
        <v>Canada</v>
      </c>
      <c r="B6" s="26">
        <f>SUMIFS(Data[Amount],Data[Geography],A6)</f>
        <v>237944</v>
      </c>
      <c r="C6" s="19">
        <f t="shared" si="0"/>
        <v>237944</v>
      </c>
      <c r="D6" s="20">
        <f>SUMIFS(Data[Units],Data[Geography],A6)</f>
        <v>7302</v>
      </c>
    </row>
    <row r="7" spans="1:4" ht="21" x14ac:dyDescent="0.25">
      <c r="A7" s="18" t="str">
        <v>UK</v>
      </c>
      <c r="B7" s="26">
        <f>SUMIFS(Data[Amount],Data[Geography],A7)</f>
        <v>173530</v>
      </c>
      <c r="C7" s="19">
        <f t="shared" si="0"/>
        <v>173530</v>
      </c>
      <c r="D7" s="20">
        <f>SUMIFS(Data[Units],Data[Geography],A7)</f>
        <v>5745</v>
      </c>
    </row>
    <row r="8" spans="1:4" ht="21" x14ac:dyDescent="0.25">
      <c r="A8" s="18" t="str">
        <v>Australia</v>
      </c>
      <c r="B8" s="26">
        <f>SUMIFS(Data[Amount],Data[Geography],A8)</f>
        <v>168679</v>
      </c>
      <c r="C8" s="19">
        <f t="shared" si="0"/>
        <v>168679</v>
      </c>
      <c r="D8" s="20">
        <f>SUMIFS(Data[Units],Data[Geography],A8)</f>
        <v>6264</v>
      </c>
    </row>
    <row r="9" spans="1:4" ht="21" x14ac:dyDescent="0.25">
      <c r="A9" s="18" t="str">
        <v>India</v>
      </c>
      <c r="B9" s="26">
        <f>SUMIFS(Data[Amount],Data[Geography],A9)</f>
        <v>252469</v>
      </c>
      <c r="C9" s="19">
        <f t="shared" si="0"/>
        <v>252469</v>
      </c>
      <c r="D9" s="20">
        <f>SUMIFS(Data[Units],Data[Geography],A9)</f>
        <v>8760</v>
      </c>
    </row>
    <row r="12" spans="1:4" x14ac:dyDescent="0.2">
      <c r="A12" s="57" t="s">
        <v>67</v>
      </c>
      <c r="B12" s="57"/>
      <c r="C12" s="57"/>
      <c r="D12" s="57"/>
    </row>
    <row r="13" spans="1:4" x14ac:dyDescent="0.2">
      <c r="A13" s="58"/>
      <c r="B13" s="58"/>
      <c r="C13" s="58"/>
      <c r="D13" s="58"/>
    </row>
    <row r="14" spans="1:4" ht="21" x14ac:dyDescent="0.25">
      <c r="A14" s="22" t="s">
        <v>68</v>
      </c>
      <c r="B14" s="12" t="s">
        <v>69</v>
      </c>
      <c r="C14" s="12" t="s">
        <v>71</v>
      </c>
      <c r="D14" s="12" t="s">
        <v>70</v>
      </c>
    </row>
    <row r="15" spans="1:4" ht="21" x14ac:dyDescent="0.25">
      <c r="A15" s="23" t="s">
        <v>34</v>
      </c>
      <c r="B15" s="25">
        <v>252469</v>
      </c>
      <c r="C15" s="12">
        <v>252469</v>
      </c>
      <c r="D15" s="24">
        <v>8760</v>
      </c>
    </row>
    <row r="16" spans="1:4" ht="21" x14ac:dyDescent="0.25">
      <c r="A16" s="23" t="s">
        <v>36</v>
      </c>
      <c r="B16" s="25">
        <v>237944</v>
      </c>
      <c r="C16" s="12">
        <v>237944</v>
      </c>
      <c r="D16" s="24">
        <v>7302</v>
      </c>
    </row>
    <row r="17" spans="1:8" ht="21" x14ac:dyDescent="0.25">
      <c r="A17" s="23" t="s">
        <v>37</v>
      </c>
      <c r="B17" s="25">
        <v>213507</v>
      </c>
      <c r="C17" s="12">
        <v>213507</v>
      </c>
      <c r="D17" s="24">
        <v>7431</v>
      </c>
    </row>
    <row r="18" spans="1:8" ht="21" x14ac:dyDescent="0.25">
      <c r="A18" s="23" t="s">
        <v>35</v>
      </c>
      <c r="B18" s="25">
        <v>189434</v>
      </c>
      <c r="C18" s="12">
        <v>189434</v>
      </c>
      <c r="D18" s="24">
        <v>10158</v>
      </c>
    </row>
    <row r="19" spans="1:8" ht="21" x14ac:dyDescent="0.25">
      <c r="A19" s="23" t="s">
        <v>39</v>
      </c>
      <c r="B19" s="25">
        <v>173530</v>
      </c>
      <c r="C19" s="12">
        <v>173530</v>
      </c>
      <c r="D19" s="24">
        <v>5745</v>
      </c>
    </row>
    <row r="20" spans="1:8" ht="21" x14ac:dyDescent="0.25">
      <c r="A20" s="23" t="s">
        <v>38</v>
      </c>
      <c r="B20" s="25">
        <v>168679</v>
      </c>
      <c r="C20" s="12">
        <v>168679</v>
      </c>
      <c r="D20" s="24">
        <v>6264</v>
      </c>
    </row>
    <row r="22" spans="1:8" ht="21" x14ac:dyDescent="0.25">
      <c r="A22" s="30" t="s">
        <v>73</v>
      </c>
      <c r="B22" s="31"/>
      <c r="C22" s="31"/>
      <c r="D22" s="31"/>
      <c r="E22" s="31"/>
      <c r="F22" s="31"/>
      <c r="G22" s="31"/>
      <c r="H22" s="31"/>
    </row>
  </sheetData>
  <mergeCells count="3">
    <mergeCell ref="A1:D2"/>
    <mergeCell ref="A12:D13"/>
    <mergeCell ref="A22:H22"/>
  </mergeCells>
  <conditionalFormatting sqref="C4:C9">
    <cfRule type="dataBar" priority="2">
      <dataBar showValue="0">
        <cfvo type="min"/>
        <cfvo type="max"/>
        <color theme="4" tint="0.79998168889431442"/>
      </dataBar>
      <extLst>
        <ext xmlns:x14="http://schemas.microsoft.com/office/spreadsheetml/2009/9/main" uri="{B025F937-C7B1-47D3-B67F-A62EFF666E3E}">
          <x14:id>{5AC577C5-F80B-2C4E-863C-9420D25197D4}</x14:id>
        </ext>
      </extLst>
    </cfRule>
  </conditionalFormatting>
  <conditionalFormatting pivot="1" sqref="C15:C20">
    <cfRule type="dataBar" priority="1">
      <dataBar showValue="0">
        <cfvo type="min"/>
        <cfvo type="max"/>
        <color theme="9" tint="0.59999389629810485"/>
      </dataBar>
      <extLst>
        <ext xmlns:x14="http://schemas.microsoft.com/office/spreadsheetml/2009/9/main" uri="{B025F937-C7B1-47D3-B67F-A62EFF666E3E}">
          <x14:id>{71C41C1F-4266-664D-A110-55462543A5FA}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AC577C5-F80B-2C4E-863C-9420D25197D4}">
            <x14:dataBar minLength="0" maxLength="100" gradient="0">
              <x14:cfvo type="autoMin"/>
              <x14:cfvo type="autoMax"/>
              <x14:negativeFillColor rgb="FFFF0000"/>
              <x14:axisColor rgb="FF000000"/>
            </x14:dataBar>
          </x14:cfRule>
          <xm:sqref>C4:C9</xm:sqref>
        </x14:conditionalFormatting>
        <x14:conditionalFormatting xmlns:xm="http://schemas.microsoft.com/office/excel/2006/main" pivot="1">
          <x14:cfRule type="dataBar" id="{71C41C1F-4266-664D-A110-55462543A5FA}">
            <x14:dataBar minLength="0" maxLength="100" gradient="0">
              <x14:cfvo type="autoMin"/>
              <x14:cfvo type="autoMax"/>
              <x14:negativeFillColor rgb="FFFF0000"/>
              <x14:axisColor rgb="FF000000"/>
            </x14:dataBar>
          </x14:cfRule>
          <xm:sqref>C15:C20</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7B3E7-DB58-0644-A6D8-3C8B28EE1487}">
  <dimension ref="A1:G24"/>
  <sheetViews>
    <sheetView workbookViewId="0">
      <selection activeCell="F1" sqref="F1:G1"/>
    </sheetView>
  </sheetViews>
  <sheetFormatPr baseColWidth="10" defaultRowHeight="21" x14ac:dyDescent="0.25"/>
  <cols>
    <col min="1" max="1" width="26.6640625" bestFit="1" customWidth="1"/>
    <col min="2" max="2" width="19.33203125" bestFit="1" customWidth="1"/>
    <col min="3" max="3" width="15.6640625" bestFit="1" customWidth="1"/>
    <col min="4" max="4" width="12.33203125" style="12" bestFit="1" customWidth="1"/>
    <col min="6" max="6" width="26.6640625" bestFit="1" customWidth="1"/>
    <col min="7" max="7" width="14.83203125" bestFit="1" customWidth="1"/>
  </cols>
  <sheetData>
    <row r="1" spans="1:7" ht="33" customHeight="1" x14ac:dyDescent="0.2">
      <c r="A1" s="60" t="s">
        <v>74</v>
      </c>
      <c r="B1" s="61"/>
      <c r="C1" s="61"/>
      <c r="D1" s="61"/>
      <c r="F1" s="62" t="s">
        <v>53</v>
      </c>
      <c r="G1" s="63"/>
    </row>
    <row r="2" spans="1:7" x14ac:dyDescent="0.25">
      <c r="A2" s="22" t="s">
        <v>68</v>
      </c>
      <c r="B2" s="12" t="s">
        <v>69</v>
      </c>
      <c r="C2" s="12" t="s">
        <v>70</v>
      </c>
      <c r="D2" s="28" t="s">
        <v>72</v>
      </c>
      <c r="F2" s="28" t="s">
        <v>0</v>
      </c>
      <c r="G2" s="28" t="s">
        <v>72</v>
      </c>
    </row>
    <row r="3" spans="1:7" x14ac:dyDescent="0.25">
      <c r="A3" s="23" t="s">
        <v>14</v>
      </c>
      <c r="B3" s="27">
        <v>43183</v>
      </c>
      <c r="C3" s="27">
        <v>2022</v>
      </c>
      <c r="D3" s="29">
        <f>GETPIVOTDATA("Sum of Amount",$A$2,"Product","50% Dark Bites")/GETPIVOTDATA("Sum of Units",$A$2,"Product","50% Dark Bites")</f>
        <v>21.356577645895154</v>
      </c>
      <c r="F3" s="23" t="s">
        <v>15</v>
      </c>
      <c r="G3" s="23">
        <v>44.990867579908674</v>
      </c>
    </row>
    <row r="4" spans="1:7" x14ac:dyDescent="0.25">
      <c r="A4" s="23" t="s">
        <v>30</v>
      </c>
      <c r="B4" s="27">
        <v>66500</v>
      </c>
      <c r="C4" s="27">
        <v>2802</v>
      </c>
      <c r="D4" s="29">
        <f>GETPIVOTDATA("Sum of Amount",$A$2,"Product","70% Dark Bites")/GETPIVOTDATA("Sum of Units",$A$2,"Product","70% Dark Bites")</f>
        <v>23.733047822983583</v>
      </c>
      <c r="F4" s="23" t="s">
        <v>33</v>
      </c>
      <c r="G4" s="23">
        <v>37.303128371089535</v>
      </c>
    </row>
    <row r="5" spans="1:7" x14ac:dyDescent="0.25">
      <c r="A5" s="23" t="s">
        <v>24</v>
      </c>
      <c r="B5" s="27">
        <v>35378</v>
      </c>
      <c r="C5" s="27">
        <v>1044</v>
      </c>
      <c r="D5" s="29">
        <f>GETPIVOTDATA("Sum of Amount",$A$2,"Product","85% Dark Bars")/GETPIVOTDATA("Sum of Units",$A$2,"Product","85% Dark Bars")</f>
        <v>33.88697318007663</v>
      </c>
      <c r="F5" s="23" t="s">
        <v>24</v>
      </c>
      <c r="G5" s="23">
        <v>33.88697318007663</v>
      </c>
    </row>
    <row r="6" spans="1:7" x14ac:dyDescent="0.25">
      <c r="A6" s="23" t="s">
        <v>19</v>
      </c>
      <c r="B6" s="27">
        <v>44744</v>
      </c>
      <c r="C6" s="27">
        <v>1956</v>
      </c>
      <c r="D6" s="29">
        <f>GETPIVOTDATA("Sum of Amount",$A$2,"Product","99% Dark &amp; Pure")/GETPIVOTDATA("Sum of Units",$A$2,"Product","99% Dark &amp; Pure")</f>
        <v>22.87525562372188</v>
      </c>
      <c r="F6" s="23" t="s">
        <v>22</v>
      </c>
      <c r="G6" s="23">
        <v>32.301656920077974</v>
      </c>
    </row>
    <row r="7" spans="1:7" x14ac:dyDescent="0.25">
      <c r="A7" s="23" t="s">
        <v>22</v>
      </c>
      <c r="B7" s="27">
        <v>66283</v>
      </c>
      <c r="C7" s="27">
        <v>2052</v>
      </c>
      <c r="D7" s="29">
        <f>GETPIVOTDATA("Sum of Amount",$A$2,"Product","After Nines")/GETPIVOTDATA("Sum of Units",$A$2,"Product","After Nines")</f>
        <v>32.301656920077974</v>
      </c>
      <c r="F7" s="23" t="s">
        <v>32</v>
      </c>
      <c r="G7" s="23">
        <v>31.276401564537156</v>
      </c>
    </row>
    <row r="8" spans="1:7" x14ac:dyDescent="0.25">
      <c r="A8" s="23" t="s">
        <v>4</v>
      </c>
      <c r="B8" s="27">
        <v>33551</v>
      </c>
      <c r="C8" s="27">
        <v>1566</v>
      </c>
      <c r="D8" s="29">
        <f>GETPIVOTDATA("Sum of Amount",$A$2,"Product","Almond Choco")/GETPIVOTDATA("Sum of Units",$A$2,"Product","Almond Choco")</f>
        <v>21.424648786717754</v>
      </c>
    </row>
    <row r="9" spans="1:7" x14ac:dyDescent="0.25">
      <c r="A9" s="23" t="s">
        <v>26</v>
      </c>
      <c r="B9" s="27">
        <v>64967</v>
      </c>
      <c r="C9" s="27">
        <v>2142</v>
      </c>
      <c r="D9" s="29">
        <f>GETPIVOTDATA("Sum of Amount",$A$2,"Product","Baker's Choco Chips")/GETPIVOTDATA("Sum of Units",$A$2,"Product","Baker's Choco Chips")</f>
        <v>30.330065359477125</v>
      </c>
    </row>
    <row r="10" spans="1:7" x14ac:dyDescent="0.25">
      <c r="A10" s="23" t="s">
        <v>28</v>
      </c>
      <c r="B10" s="27">
        <v>72373</v>
      </c>
      <c r="C10" s="27">
        <v>3207</v>
      </c>
      <c r="D10" s="29">
        <f>GETPIVOTDATA("Sum of Amount",$A$2,"Product","Caramel Stuffed Bars")/GETPIVOTDATA("Sum of Units",$A$2,"Product","Caramel Stuffed Bars")</f>
        <v>22.567196757093857</v>
      </c>
    </row>
    <row r="11" spans="1:7" x14ac:dyDescent="0.25">
      <c r="A11" s="23" t="s">
        <v>32</v>
      </c>
      <c r="B11" s="27">
        <v>71967</v>
      </c>
      <c r="C11" s="27">
        <v>2301</v>
      </c>
      <c r="D11" s="29">
        <f>GETPIVOTDATA("Sum of Amount",$A$2,"Product","Choco Coated Almonds")/GETPIVOTDATA("Sum of Units",$A$2,"Product","Choco Coated Almonds")</f>
        <v>31.276401564537156</v>
      </c>
    </row>
    <row r="12" spans="1:7" x14ac:dyDescent="0.25">
      <c r="A12" s="23" t="s">
        <v>18</v>
      </c>
      <c r="B12" s="27">
        <v>52150</v>
      </c>
      <c r="C12" s="27">
        <v>1752</v>
      </c>
      <c r="D12" s="29">
        <f>GETPIVOTDATA("Sum of Amount",$A$2,"Product","Drinking Coco")/GETPIVOTDATA("Sum of Units",$A$2,"Product","Drinking Coco")</f>
        <v>29.765981735159816</v>
      </c>
    </row>
    <row r="13" spans="1:7" x14ac:dyDescent="0.25">
      <c r="A13" s="23" t="s">
        <v>17</v>
      </c>
      <c r="B13" s="27">
        <v>63721</v>
      </c>
      <c r="C13" s="27">
        <v>2331</v>
      </c>
      <c r="D13" s="29">
        <f>GETPIVOTDATA("Sum of Amount",$A$2,"Product","Eclairs")/GETPIVOTDATA("Sum of Units",$A$2,"Product","Eclairs")</f>
        <v>27.336336336336338</v>
      </c>
    </row>
    <row r="14" spans="1:7" x14ac:dyDescent="0.25">
      <c r="A14" s="23" t="s">
        <v>23</v>
      </c>
      <c r="B14" s="27">
        <v>56644</v>
      </c>
      <c r="C14" s="27">
        <v>1812</v>
      </c>
      <c r="D14" s="29">
        <f>GETPIVOTDATA("Sum of Amount",$A$2,"Product","Fruit &amp; Nut Bars")/GETPIVOTDATA("Sum of Units",$A$2,"Product","Fruit &amp; Nut Bars")</f>
        <v>31.260485651214129</v>
      </c>
    </row>
    <row r="15" spans="1:7" x14ac:dyDescent="0.25">
      <c r="A15" s="23" t="s">
        <v>29</v>
      </c>
      <c r="B15" s="27">
        <v>58009</v>
      </c>
      <c r="C15" s="27">
        <v>2976</v>
      </c>
      <c r="D15" s="29">
        <f>GETPIVOTDATA("Sum of Amount",$A$2,"Product","Manuka Honey Choco")/GETPIVOTDATA("Sum of Units",$A$2,"Product","Manuka Honey Choco")</f>
        <v>19.492271505376344</v>
      </c>
    </row>
    <row r="16" spans="1:7" x14ac:dyDescent="0.25">
      <c r="A16" s="23" t="s">
        <v>13</v>
      </c>
      <c r="B16" s="27">
        <v>47271</v>
      </c>
      <c r="C16" s="27">
        <v>1881</v>
      </c>
      <c r="D16" s="29">
        <f>GETPIVOTDATA("Sum of Amount",$A$2,"Product","Milk Bars")/GETPIVOTDATA("Sum of Units",$A$2,"Product","Milk Bars")</f>
        <v>25.130781499202552</v>
      </c>
    </row>
    <row r="17" spans="1:4" x14ac:dyDescent="0.25">
      <c r="A17" s="23" t="s">
        <v>16</v>
      </c>
      <c r="B17" s="27">
        <v>62111</v>
      </c>
      <c r="C17" s="27">
        <v>2154</v>
      </c>
      <c r="D17" s="29">
        <f>GETPIVOTDATA("Sum of Amount",$A$2,"Product","Mint Chip Choco")/GETPIVOTDATA("Sum of Units",$A$2,"Product","Mint Chip Choco")</f>
        <v>28.835190343546891</v>
      </c>
    </row>
    <row r="18" spans="1:4" x14ac:dyDescent="0.25">
      <c r="A18" s="23" t="s">
        <v>20</v>
      </c>
      <c r="B18" s="27">
        <v>54712</v>
      </c>
      <c r="C18" s="27">
        <v>2196</v>
      </c>
      <c r="D18" s="29">
        <f>GETPIVOTDATA("Sum of Amount",$A$2,"Product","Orange Choco")/GETPIVOTDATA("Sum of Units",$A$2,"Product","Orange Choco")</f>
        <v>24.9143897996357</v>
      </c>
    </row>
    <row r="19" spans="1:4" x14ac:dyDescent="0.25">
      <c r="A19" s="23" t="s">
        <v>27</v>
      </c>
      <c r="B19" s="27">
        <v>69461</v>
      </c>
      <c r="C19" s="27">
        <v>2982</v>
      </c>
      <c r="D19" s="29">
        <f>GETPIVOTDATA("Sum of Amount",$A$2,"Product","Organic Choco Syrup")/GETPIVOTDATA("Sum of Units",$A$2,"Product","Organic Choco Syrup")</f>
        <v>23.293427230046948</v>
      </c>
    </row>
    <row r="20" spans="1:4" x14ac:dyDescent="0.25">
      <c r="A20" s="23" t="s">
        <v>33</v>
      </c>
      <c r="B20" s="27">
        <v>69160</v>
      </c>
      <c r="C20" s="27">
        <v>1854</v>
      </c>
      <c r="D20" s="29">
        <f>GETPIVOTDATA("Sum of Amount",$A$2,"Product","Peanut Butter Cubes")/GETPIVOTDATA("Sum of Units",$A$2,"Product","Peanut Butter Cubes")</f>
        <v>37.303128371089535</v>
      </c>
    </row>
    <row r="21" spans="1:4" x14ac:dyDescent="0.25">
      <c r="A21" s="23" t="s">
        <v>15</v>
      </c>
      <c r="B21" s="27">
        <v>68971</v>
      </c>
      <c r="C21" s="27">
        <v>1533</v>
      </c>
      <c r="D21" s="29">
        <f>GETPIVOTDATA("Sum of Amount",$A$2,"Product","Raspberry Choco")/GETPIVOTDATA("Sum of Units",$A$2,"Product","Raspberry Choco")</f>
        <v>44.990867579908674</v>
      </c>
    </row>
    <row r="22" spans="1:4" x14ac:dyDescent="0.25">
      <c r="A22" s="23" t="s">
        <v>31</v>
      </c>
      <c r="B22" s="27">
        <v>39263</v>
      </c>
      <c r="C22" s="27">
        <v>1683</v>
      </c>
      <c r="D22" s="29">
        <f>GETPIVOTDATA("Sum of Amount",$A$2,"Product","Smooth Sliky Salty")/GETPIVOTDATA("Sum of Units",$A$2,"Product","Smooth Sliky Salty")</f>
        <v>23.329174093879978</v>
      </c>
    </row>
    <row r="23" spans="1:4" x14ac:dyDescent="0.25">
      <c r="A23" s="23" t="s">
        <v>21</v>
      </c>
      <c r="B23" s="27">
        <v>37772</v>
      </c>
      <c r="C23" s="27">
        <v>1308</v>
      </c>
      <c r="D23" s="29">
        <f>GETPIVOTDATA("Sum of Amount",$A$2,"Product","Spicy Special Slims")/GETPIVOTDATA("Sum of Units",$A$2,"Product","Spicy Special Slims")</f>
        <v>28.877675840978593</v>
      </c>
    </row>
    <row r="24" spans="1:4" x14ac:dyDescent="0.25">
      <c r="A24" s="23" t="s">
        <v>25</v>
      </c>
      <c r="B24" s="27">
        <v>57372</v>
      </c>
      <c r="C24" s="27">
        <v>2106</v>
      </c>
      <c r="D24" s="29">
        <f>GETPIVOTDATA("Sum of Amount",$A$2,"Product","White Choc")/GETPIVOTDATA("Sum of Units",$A$2,"Product","White Choc")</f>
        <v>27.242165242165242</v>
      </c>
    </row>
  </sheetData>
  <autoFilter ref="F2:G2" xr:uid="{8357B3E7-DB58-0644-A6D8-3C8B28EE1487}">
    <sortState xmlns:xlrd2="http://schemas.microsoft.com/office/spreadsheetml/2017/richdata2" ref="F3:G25">
      <sortCondition descending="1" ref="G2:G25"/>
    </sortState>
  </autoFilter>
  <mergeCells count="2">
    <mergeCell ref="A1:D1"/>
    <mergeCell ref="F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9F43-D369-1645-A23A-AB0E030A29C4}">
  <dimension ref="A1:P301"/>
  <sheetViews>
    <sheetView topLeftCell="A23" workbookViewId="0">
      <selection sqref="A1:P1"/>
    </sheetView>
  </sheetViews>
  <sheetFormatPr baseColWidth="10" defaultRowHeight="15" x14ac:dyDescent="0.2"/>
  <cols>
    <col min="8" max="8" width="24.1640625" customWidth="1"/>
  </cols>
  <sheetData>
    <row r="1" spans="1:16" ht="31" customHeight="1" x14ac:dyDescent="0.3">
      <c r="A1" s="59" t="s">
        <v>96</v>
      </c>
      <c r="B1" s="59"/>
      <c r="C1" s="59"/>
      <c r="D1" s="59"/>
      <c r="E1" s="59"/>
      <c r="F1" s="59"/>
      <c r="G1" s="59"/>
      <c r="H1" s="59"/>
      <c r="I1" s="59"/>
      <c r="J1" s="59"/>
      <c r="K1" s="59"/>
      <c r="L1" s="59"/>
      <c r="M1" s="59"/>
      <c r="N1" s="59"/>
      <c r="O1" s="59"/>
      <c r="P1" s="59"/>
    </row>
    <row r="2" spans="1:16" x14ac:dyDescent="0.2">
      <c r="K2" s="4" t="s">
        <v>11</v>
      </c>
      <c r="L2" s="4" t="s">
        <v>12</v>
      </c>
      <c r="M2" s="4" t="s">
        <v>0</v>
      </c>
      <c r="N2" s="8" t="s">
        <v>1</v>
      </c>
      <c r="O2" s="8" t="s">
        <v>49</v>
      </c>
    </row>
    <row r="3" spans="1:16" ht="21" x14ac:dyDescent="0.25">
      <c r="B3" s="33" t="s">
        <v>75</v>
      </c>
      <c r="C3" s="31"/>
      <c r="D3" s="31"/>
      <c r="E3" s="31"/>
      <c r="F3" s="31"/>
      <c r="G3" s="31"/>
      <c r="H3" s="31"/>
      <c r="K3" t="s">
        <v>40</v>
      </c>
      <c r="L3" t="s">
        <v>37</v>
      </c>
      <c r="M3" t="s">
        <v>30</v>
      </c>
      <c r="N3" s="2">
        <v>1624</v>
      </c>
      <c r="O3" s="3">
        <v>114</v>
      </c>
    </row>
    <row r="4" spans="1:16" x14ac:dyDescent="0.2">
      <c r="K4" t="s">
        <v>8</v>
      </c>
      <c r="L4" t="s">
        <v>35</v>
      </c>
      <c r="M4" t="s">
        <v>32</v>
      </c>
      <c r="N4" s="2">
        <v>6706</v>
      </c>
      <c r="O4" s="3">
        <v>459</v>
      </c>
    </row>
    <row r="5" spans="1:16" x14ac:dyDescent="0.2">
      <c r="K5" t="s">
        <v>9</v>
      </c>
      <c r="L5" t="s">
        <v>35</v>
      </c>
      <c r="M5" t="s">
        <v>4</v>
      </c>
      <c r="N5" s="2">
        <v>959</v>
      </c>
      <c r="O5" s="3">
        <v>147</v>
      </c>
    </row>
    <row r="6" spans="1:16" x14ac:dyDescent="0.2">
      <c r="K6" t="s">
        <v>41</v>
      </c>
      <c r="L6" t="s">
        <v>36</v>
      </c>
      <c r="M6" t="s">
        <v>18</v>
      </c>
      <c r="N6" s="2">
        <v>9632</v>
      </c>
      <c r="O6" s="3">
        <v>288</v>
      </c>
    </row>
    <row r="7" spans="1:16" x14ac:dyDescent="0.2">
      <c r="K7" t="s">
        <v>6</v>
      </c>
      <c r="L7" t="s">
        <v>39</v>
      </c>
      <c r="M7" t="s">
        <v>25</v>
      </c>
      <c r="N7" s="2">
        <v>2100</v>
      </c>
      <c r="O7" s="3">
        <v>414</v>
      </c>
    </row>
    <row r="8" spans="1:16" x14ac:dyDescent="0.2">
      <c r="K8" t="s">
        <v>40</v>
      </c>
      <c r="L8" t="s">
        <v>35</v>
      </c>
      <c r="M8" t="s">
        <v>33</v>
      </c>
      <c r="N8" s="2">
        <v>8869</v>
      </c>
      <c r="O8" s="3">
        <v>432</v>
      </c>
    </row>
    <row r="9" spans="1:16" x14ac:dyDescent="0.2">
      <c r="K9" t="s">
        <v>6</v>
      </c>
      <c r="L9" t="s">
        <v>38</v>
      </c>
      <c r="M9" t="s">
        <v>31</v>
      </c>
      <c r="N9" s="2">
        <v>2681</v>
      </c>
      <c r="O9" s="3">
        <v>54</v>
      </c>
    </row>
    <row r="10" spans="1:16" x14ac:dyDescent="0.2">
      <c r="K10" t="s">
        <v>8</v>
      </c>
      <c r="L10" t="s">
        <v>35</v>
      </c>
      <c r="M10" t="s">
        <v>22</v>
      </c>
      <c r="N10" s="2">
        <v>5012</v>
      </c>
      <c r="O10" s="3">
        <v>210</v>
      </c>
    </row>
    <row r="11" spans="1:16" x14ac:dyDescent="0.2">
      <c r="K11" t="s">
        <v>7</v>
      </c>
      <c r="L11" t="s">
        <v>38</v>
      </c>
      <c r="M11" t="s">
        <v>14</v>
      </c>
      <c r="N11" s="2">
        <v>1281</v>
      </c>
      <c r="O11" s="3">
        <v>75</v>
      </c>
    </row>
    <row r="12" spans="1:16" x14ac:dyDescent="0.2">
      <c r="K12" t="s">
        <v>5</v>
      </c>
      <c r="L12" t="s">
        <v>37</v>
      </c>
      <c r="M12" t="s">
        <v>14</v>
      </c>
      <c r="N12" s="2">
        <v>4991</v>
      </c>
      <c r="O12" s="3">
        <v>12</v>
      </c>
    </row>
    <row r="13" spans="1:16" x14ac:dyDescent="0.2">
      <c r="K13" t="s">
        <v>2</v>
      </c>
      <c r="L13" t="s">
        <v>39</v>
      </c>
      <c r="M13" t="s">
        <v>25</v>
      </c>
      <c r="N13" s="2">
        <v>1785</v>
      </c>
      <c r="O13" s="3">
        <v>462</v>
      </c>
    </row>
    <row r="14" spans="1:16" x14ac:dyDescent="0.2">
      <c r="K14" t="s">
        <v>3</v>
      </c>
      <c r="L14" t="s">
        <v>37</v>
      </c>
      <c r="M14" t="s">
        <v>17</v>
      </c>
      <c r="N14" s="2">
        <v>3983</v>
      </c>
      <c r="O14" s="3">
        <v>144</v>
      </c>
    </row>
    <row r="15" spans="1:16" x14ac:dyDescent="0.2">
      <c r="K15" t="s">
        <v>9</v>
      </c>
      <c r="L15" t="s">
        <v>38</v>
      </c>
      <c r="M15" t="s">
        <v>16</v>
      </c>
      <c r="N15" s="2">
        <v>2646</v>
      </c>
      <c r="O15" s="3">
        <v>120</v>
      </c>
    </row>
    <row r="16" spans="1:16" x14ac:dyDescent="0.2">
      <c r="K16" t="s">
        <v>2</v>
      </c>
      <c r="L16" t="s">
        <v>34</v>
      </c>
      <c r="M16" t="s">
        <v>13</v>
      </c>
      <c r="N16" s="2">
        <v>252</v>
      </c>
      <c r="O16" s="3">
        <v>54</v>
      </c>
    </row>
    <row r="17" spans="2:15" x14ac:dyDescent="0.2">
      <c r="K17" t="s">
        <v>3</v>
      </c>
      <c r="L17" t="s">
        <v>35</v>
      </c>
      <c r="M17" t="s">
        <v>25</v>
      </c>
      <c r="N17" s="2">
        <v>2464</v>
      </c>
      <c r="O17" s="3">
        <v>234</v>
      </c>
    </row>
    <row r="18" spans="2:15" x14ac:dyDescent="0.2">
      <c r="K18" t="s">
        <v>3</v>
      </c>
      <c r="L18" t="s">
        <v>35</v>
      </c>
      <c r="M18" t="s">
        <v>29</v>
      </c>
      <c r="N18" s="2">
        <v>2114</v>
      </c>
      <c r="O18" s="3">
        <v>66</v>
      </c>
    </row>
    <row r="19" spans="2:15" x14ac:dyDescent="0.2">
      <c r="K19" t="s">
        <v>6</v>
      </c>
      <c r="L19" t="s">
        <v>37</v>
      </c>
      <c r="M19" t="s">
        <v>31</v>
      </c>
      <c r="N19" s="2">
        <v>7693</v>
      </c>
      <c r="O19" s="3">
        <v>87</v>
      </c>
    </row>
    <row r="20" spans="2:15" x14ac:dyDescent="0.2">
      <c r="K20" t="s">
        <v>5</v>
      </c>
      <c r="L20" t="s">
        <v>34</v>
      </c>
      <c r="M20" t="s">
        <v>20</v>
      </c>
      <c r="N20" s="2">
        <v>15610</v>
      </c>
      <c r="O20" s="3">
        <v>339</v>
      </c>
    </row>
    <row r="21" spans="2:15" x14ac:dyDescent="0.2">
      <c r="K21" t="s">
        <v>41</v>
      </c>
      <c r="L21" t="s">
        <v>34</v>
      </c>
      <c r="M21" t="s">
        <v>22</v>
      </c>
      <c r="N21" s="2">
        <v>336</v>
      </c>
      <c r="O21" s="3">
        <v>144</v>
      </c>
    </row>
    <row r="22" spans="2:15" x14ac:dyDescent="0.2">
      <c r="K22" t="s">
        <v>2</v>
      </c>
      <c r="L22" t="s">
        <v>39</v>
      </c>
      <c r="M22" t="s">
        <v>20</v>
      </c>
      <c r="N22" s="2">
        <v>9443</v>
      </c>
      <c r="O22" s="3">
        <v>162</v>
      </c>
    </row>
    <row r="23" spans="2:15" ht="21" x14ac:dyDescent="0.25">
      <c r="B23" s="33" t="s">
        <v>76</v>
      </c>
      <c r="C23" s="34"/>
      <c r="D23" s="34"/>
      <c r="E23" s="34"/>
      <c r="F23" s="34"/>
      <c r="G23" s="34"/>
      <c r="H23" s="34"/>
      <c r="K23" t="s">
        <v>9</v>
      </c>
      <c r="L23" t="s">
        <v>34</v>
      </c>
      <c r="M23" t="s">
        <v>23</v>
      </c>
      <c r="N23" s="2">
        <v>8155</v>
      </c>
      <c r="O23" s="3">
        <v>90</v>
      </c>
    </row>
    <row r="24" spans="2:15" ht="21" x14ac:dyDescent="0.25">
      <c r="B24" s="33" t="s">
        <v>77</v>
      </c>
      <c r="C24" s="34"/>
      <c r="D24" s="34"/>
      <c r="E24" s="34"/>
      <c r="F24" s="34"/>
      <c r="G24" s="34"/>
      <c r="H24" s="34"/>
      <c r="K24" t="s">
        <v>8</v>
      </c>
      <c r="L24" t="s">
        <v>38</v>
      </c>
      <c r="M24" t="s">
        <v>23</v>
      </c>
      <c r="N24" s="2">
        <v>1701</v>
      </c>
      <c r="O24" s="3">
        <v>234</v>
      </c>
    </row>
    <row r="25" spans="2:15" x14ac:dyDescent="0.2">
      <c r="K25" t="s">
        <v>10</v>
      </c>
      <c r="L25" t="s">
        <v>38</v>
      </c>
      <c r="M25" t="s">
        <v>22</v>
      </c>
      <c r="N25" s="2">
        <v>2205</v>
      </c>
      <c r="O25" s="3">
        <v>141</v>
      </c>
    </row>
    <row r="26" spans="2:15" x14ac:dyDescent="0.2">
      <c r="K26" t="s">
        <v>8</v>
      </c>
      <c r="L26" t="s">
        <v>37</v>
      </c>
      <c r="M26" t="s">
        <v>19</v>
      </c>
      <c r="N26" s="2">
        <v>1771</v>
      </c>
      <c r="O26" s="3">
        <v>204</v>
      </c>
    </row>
    <row r="27" spans="2:15" x14ac:dyDescent="0.2">
      <c r="K27" t="s">
        <v>41</v>
      </c>
      <c r="L27" t="s">
        <v>35</v>
      </c>
      <c r="M27" t="s">
        <v>15</v>
      </c>
      <c r="N27" s="2">
        <v>2114</v>
      </c>
      <c r="O27" s="3">
        <v>186</v>
      </c>
    </row>
    <row r="28" spans="2:15" x14ac:dyDescent="0.2">
      <c r="K28" t="s">
        <v>41</v>
      </c>
      <c r="L28" t="s">
        <v>36</v>
      </c>
      <c r="M28" t="s">
        <v>13</v>
      </c>
      <c r="N28" s="2">
        <v>10311</v>
      </c>
      <c r="O28" s="3">
        <v>231</v>
      </c>
    </row>
    <row r="29" spans="2:15" x14ac:dyDescent="0.2">
      <c r="K29" t="s">
        <v>3</v>
      </c>
      <c r="L29" t="s">
        <v>39</v>
      </c>
      <c r="M29" t="s">
        <v>16</v>
      </c>
      <c r="N29" s="2">
        <v>21</v>
      </c>
      <c r="O29" s="3">
        <v>168</v>
      </c>
    </row>
    <row r="30" spans="2:15" x14ac:dyDescent="0.2">
      <c r="K30" t="s">
        <v>10</v>
      </c>
      <c r="L30" t="s">
        <v>35</v>
      </c>
      <c r="M30" t="s">
        <v>20</v>
      </c>
      <c r="N30" s="2">
        <v>1974</v>
      </c>
      <c r="O30" s="3">
        <v>195</v>
      </c>
    </row>
    <row r="31" spans="2:15" x14ac:dyDescent="0.2">
      <c r="K31" t="s">
        <v>5</v>
      </c>
      <c r="L31" t="s">
        <v>36</v>
      </c>
      <c r="M31" t="s">
        <v>23</v>
      </c>
      <c r="N31" s="2">
        <v>6314</v>
      </c>
      <c r="O31" s="3">
        <v>15</v>
      </c>
    </row>
    <row r="32" spans="2:15" x14ac:dyDescent="0.2">
      <c r="K32" t="s">
        <v>10</v>
      </c>
      <c r="L32" t="s">
        <v>37</v>
      </c>
      <c r="M32" t="s">
        <v>23</v>
      </c>
      <c r="N32" s="2">
        <v>4683</v>
      </c>
      <c r="O32" s="3">
        <v>30</v>
      </c>
    </row>
    <row r="33" spans="11:15" x14ac:dyDescent="0.2">
      <c r="K33" t="s">
        <v>41</v>
      </c>
      <c r="L33" t="s">
        <v>37</v>
      </c>
      <c r="M33" t="s">
        <v>24</v>
      </c>
      <c r="N33" s="2">
        <v>6398</v>
      </c>
      <c r="O33" s="3">
        <v>102</v>
      </c>
    </row>
    <row r="34" spans="11:15" x14ac:dyDescent="0.2">
      <c r="K34" t="s">
        <v>2</v>
      </c>
      <c r="L34" t="s">
        <v>35</v>
      </c>
      <c r="M34" t="s">
        <v>19</v>
      </c>
      <c r="N34" s="2">
        <v>553</v>
      </c>
      <c r="O34" s="3">
        <v>15</v>
      </c>
    </row>
    <row r="35" spans="11:15" x14ac:dyDescent="0.2">
      <c r="K35" t="s">
        <v>8</v>
      </c>
      <c r="L35" t="s">
        <v>39</v>
      </c>
      <c r="M35" t="s">
        <v>30</v>
      </c>
      <c r="N35" s="2">
        <v>7021</v>
      </c>
      <c r="O35" s="3">
        <v>183</v>
      </c>
    </row>
    <row r="36" spans="11:15" x14ac:dyDescent="0.2">
      <c r="K36" t="s">
        <v>40</v>
      </c>
      <c r="L36" t="s">
        <v>39</v>
      </c>
      <c r="M36" t="s">
        <v>22</v>
      </c>
      <c r="N36" s="2">
        <v>5817</v>
      </c>
      <c r="O36" s="3">
        <v>12</v>
      </c>
    </row>
    <row r="37" spans="11:15" x14ac:dyDescent="0.2">
      <c r="K37" t="s">
        <v>41</v>
      </c>
      <c r="L37" t="s">
        <v>39</v>
      </c>
      <c r="M37" t="s">
        <v>14</v>
      </c>
      <c r="N37" s="2">
        <v>3976</v>
      </c>
      <c r="O37" s="3">
        <v>72</v>
      </c>
    </row>
    <row r="38" spans="11:15" x14ac:dyDescent="0.2">
      <c r="K38" t="s">
        <v>6</v>
      </c>
      <c r="L38" t="s">
        <v>38</v>
      </c>
      <c r="M38" t="s">
        <v>27</v>
      </c>
      <c r="N38" s="2">
        <v>1134</v>
      </c>
      <c r="O38" s="3">
        <v>282</v>
      </c>
    </row>
    <row r="39" spans="11:15" x14ac:dyDescent="0.2">
      <c r="K39" t="s">
        <v>2</v>
      </c>
      <c r="L39" t="s">
        <v>39</v>
      </c>
      <c r="M39" t="s">
        <v>28</v>
      </c>
      <c r="N39" s="2">
        <v>6027</v>
      </c>
      <c r="O39" s="3">
        <v>144</v>
      </c>
    </row>
    <row r="40" spans="11:15" x14ac:dyDescent="0.2">
      <c r="K40" t="s">
        <v>6</v>
      </c>
      <c r="L40" t="s">
        <v>37</v>
      </c>
      <c r="M40" t="s">
        <v>16</v>
      </c>
      <c r="N40" s="2">
        <v>1904</v>
      </c>
      <c r="O40" s="3">
        <v>405</v>
      </c>
    </row>
    <row r="41" spans="11:15" x14ac:dyDescent="0.2">
      <c r="K41" t="s">
        <v>7</v>
      </c>
      <c r="L41" t="s">
        <v>34</v>
      </c>
      <c r="M41" t="s">
        <v>32</v>
      </c>
      <c r="N41" s="2">
        <v>3262</v>
      </c>
      <c r="O41" s="3">
        <v>75</v>
      </c>
    </row>
    <row r="42" spans="11:15" x14ac:dyDescent="0.2">
      <c r="K42" t="s">
        <v>40</v>
      </c>
      <c r="L42" t="s">
        <v>34</v>
      </c>
      <c r="M42" t="s">
        <v>27</v>
      </c>
      <c r="N42" s="2">
        <v>2289</v>
      </c>
      <c r="O42" s="3">
        <v>135</v>
      </c>
    </row>
    <row r="43" spans="11:15" x14ac:dyDescent="0.2">
      <c r="K43" t="s">
        <v>5</v>
      </c>
      <c r="L43" t="s">
        <v>34</v>
      </c>
      <c r="M43" t="s">
        <v>27</v>
      </c>
      <c r="N43" s="2">
        <v>6986</v>
      </c>
      <c r="O43" s="3">
        <v>21</v>
      </c>
    </row>
    <row r="44" spans="11:15" x14ac:dyDescent="0.2">
      <c r="K44" t="s">
        <v>2</v>
      </c>
      <c r="L44" t="s">
        <v>38</v>
      </c>
      <c r="M44" t="s">
        <v>23</v>
      </c>
      <c r="N44" s="2">
        <v>4417</v>
      </c>
      <c r="O44" s="3">
        <v>153</v>
      </c>
    </row>
    <row r="45" spans="11:15" x14ac:dyDescent="0.2">
      <c r="K45" t="s">
        <v>6</v>
      </c>
      <c r="L45" t="s">
        <v>34</v>
      </c>
      <c r="M45" t="s">
        <v>15</v>
      </c>
      <c r="N45" s="2">
        <v>1442</v>
      </c>
      <c r="O45" s="3">
        <v>15</v>
      </c>
    </row>
    <row r="46" spans="11:15" x14ac:dyDescent="0.2">
      <c r="K46" t="s">
        <v>3</v>
      </c>
      <c r="L46" t="s">
        <v>35</v>
      </c>
      <c r="M46" t="s">
        <v>14</v>
      </c>
      <c r="N46" s="2">
        <v>2415</v>
      </c>
      <c r="O46" s="3">
        <v>255</v>
      </c>
    </row>
    <row r="47" spans="11:15" x14ac:dyDescent="0.2">
      <c r="K47" t="s">
        <v>2</v>
      </c>
      <c r="L47" t="s">
        <v>37</v>
      </c>
      <c r="M47" t="s">
        <v>19</v>
      </c>
      <c r="N47" s="2">
        <v>238</v>
      </c>
      <c r="O47" s="3">
        <v>18</v>
      </c>
    </row>
    <row r="48" spans="11:15" x14ac:dyDescent="0.2">
      <c r="K48" t="s">
        <v>6</v>
      </c>
      <c r="L48" t="s">
        <v>37</v>
      </c>
      <c r="M48" t="s">
        <v>23</v>
      </c>
      <c r="N48" s="2">
        <v>4949</v>
      </c>
      <c r="O48" s="3">
        <v>189</v>
      </c>
    </row>
    <row r="49" spans="11:15" x14ac:dyDescent="0.2">
      <c r="K49" t="s">
        <v>5</v>
      </c>
      <c r="L49" t="s">
        <v>38</v>
      </c>
      <c r="M49" t="s">
        <v>32</v>
      </c>
      <c r="N49" s="2">
        <v>5075</v>
      </c>
      <c r="O49" s="3">
        <v>21</v>
      </c>
    </row>
    <row r="50" spans="11:15" x14ac:dyDescent="0.2">
      <c r="K50" t="s">
        <v>3</v>
      </c>
      <c r="L50" t="s">
        <v>36</v>
      </c>
      <c r="M50" t="s">
        <v>16</v>
      </c>
      <c r="N50" s="2">
        <v>9198</v>
      </c>
      <c r="O50" s="3">
        <v>36</v>
      </c>
    </row>
    <row r="51" spans="11:15" x14ac:dyDescent="0.2">
      <c r="K51" t="s">
        <v>6</v>
      </c>
      <c r="L51" t="s">
        <v>34</v>
      </c>
      <c r="M51" t="s">
        <v>29</v>
      </c>
      <c r="N51" s="2">
        <v>3339</v>
      </c>
      <c r="O51" s="3">
        <v>75</v>
      </c>
    </row>
    <row r="52" spans="11:15" x14ac:dyDescent="0.2">
      <c r="K52" t="s">
        <v>40</v>
      </c>
      <c r="L52" t="s">
        <v>34</v>
      </c>
      <c r="M52" t="s">
        <v>17</v>
      </c>
      <c r="N52" s="2">
        <v>5019</v>
      </c>
      <c r="O52" s="3">
        <v>156</v>
      </c>
    </row>
    <row r="53" spans="11:15" x14ac:dyDescent="0.2">
      <c r="K53" t="s">
        <v>5</v>
      </c>
      <c r="L53" t="s">
        <v>36</v>
      </c>
      <c r="M53" t="s">
        <v>16</v>
      </c>
      <c r="N53" s="2">
        <v>16184</v>
      </c>
      <c r="O53" s="3">
        <v>39</v>
      </c>
    </row>
    <row r="54" spans="11:15" x14ac:dyDescent="0.2">
      <c r="K54" t="s">
        <v>6</v>
      </c>
      <c r="L54" t="s">
        <v>36</v>
      </c>
      <c r="M54" t="s">
        <v>21</v>
      </c>
      <c r="N54" s="2">
        <v>497</v>
      </c>
      <c r="O54" s="3">
        <v>63</v>
      </c>
    </row>
    <row r="55" spans="11:15" x14ac:dyDescent="0.2">
      <c r="K55" t="s">
        <v>2</v>
      </c>
      <c r="L55" t="s">
        <v>36</v>
      </c>
      <c r="M55" t="s">
        <v>29</v>
      </c>
      <c r="N55" s="2">
        <v>8211</v>
      </c>
      <c r="O55" s="3">
        <v>75</v>
      </c>
    </row>
    <row r="56" spans="11:15" x14ac:dyDescent="0.2">
      <c r="K56" t="s">
        <v>2</v>
      </c>
      <c r="L56" t="s">
        <v>38</v>
      </c>
      <c r="M56" t="s">
        <v>28</v>
      </c>
      <c r="N56" s="2">
        <v>6580</v>
      </c>
      <c r="O56" s="3">
        <v>183</v>
      </c>
    </row>
    <row r="57" spans="11:15" x14ac:dyDescent="0.2">
      <c r="K57" t="s">
        <v>41</v>
      </c>
      <c r="L57" t="s">
        <v>35</v>
      </c>
      <c r="M57" t="s">
        <v>13</v>
      </c>
      <c r="N57" s="2">
        <v>4760</v>
      </c>
      <c r="O57" s="3">
        <v>69</v>
      </c>
    </row>
    <row r="58" spans="11:15" x14ac:dyDescent="0.2">
      <c r="K58" t="s">
        <v>40</v>
      </c>
      <c r="L58" t="s">
        <v>36</v>
      </c>
      <c r="M58" t="s">
        <v>25</v>
      </c>
      <c r="N58" s="2">
        <v>5439</v>
      </c>
      <c r="O58" s="3">
        <v>30</v>
      </c>
    </row>
    <row r="59" spans="11:15" x14ac:dyDescent="0.2">
      <c r="K59" t="s">
        <v>41</v>
      </c>
      <c r="L59" t="s">
        <v>34</v>
      </c>
      <c r="M59" t="s">
        <v>17</v>
      </c>
      <c r="N59" s="2">
        <v>1463</v>
      </c>
      <c r="O59" s="3">
        <v>39</v>
      </c>
    </row>
    <row r="60" spans="11:15" x14ac:dyDescent="0.2">
      <c r="K60" t="s">
        <v>3</v>
      </c>
      <c r="L60" t="s">
        <v>34</v>
      </c>
      <c r="M60" t="s">
        <v>32</v>
      </c>
      <c r="N60" s="2">
        <v>7777</v>
      </c>
      <c r="O60" s="3">
        <v>504</v>
      </c>
    </row>
    <row r="61" spans="11:15" x14ac:dyDescent="0.2">
      <c r="K61" t="s">
        <v>9</v>
      </c>
      <c r="L61" t="s">
        <v>37</v>
      </c>
      <c r="M61" t="s">
        <v>29</v>
      </c>
      <c r="N61" s="2">
        <v>1085</v>
      </c>
      <c r="O61" s="3">
        <v>273</v>
      </c>
    </row>
    <row r="62" spans="11:15" x14ac:dyDescent="0.2">
      <c r="K62" t="s">
        <v>5</v>
      </c>
      <c r="L62" t="s">
        <v>37</v>
      </c>
      <c r="M62" t="s">
        <v>31</v>
      </c>
      <c r="N62" s="2">
        <v>182</v>
      </c>
      <c r="O62" s="3">
        <v>48</v>
      </c>
    </row>
    <row r="63" spans="11:15" x14ac:dyDescent="0.2">
      <c r="K63" t="s">
        <v>6</v>
      </c>
      <c r="L63" t="s">
        <v>34</v>
      </c>
      <c r="M63" t="s">
        <v>27</v>
      </c>
      <c r="N63" s="2">
        <v>4242</v>
      </c>
      <c r="O63" s="3">
        <v>207</v>
      </c>
    </row>
    <row r="64" spans="11:15" x14ac:dyDescent="0.2">
      <c r="K64" t="s">
        <v>6</v>
      </c>
      <c r="L64" t="s">
        <v>36</v>
      </c>
      <c r="M64" t="s">
        <v>32</v>
      </c>
      <c r="N64" s="2">
        <v>6118</v>
      </c>
      <c r="O64" s="3">
        <v>9</v>
      </c>
    </row>
    <row r="65" spans="11:15" x14ac:dyDescent="0.2">
      <c r="K65" t="s">
        <v>10</v>
      </c>
      <c r="L65" t="s">
        <v>36</v>
      </c>
      <c r="M65" t="s">
        <v>23</v>
      </c>
      <c r="N65" s="2">
        <v>2317</v>
      </c>
      <c r="O65" s="3">
        <v>261</v>
      </c>
    </row>
    <row r="66" spans="11:15" x14ac:dyDescent="0.2">
      <c r="K66" t="s">
        <v>6</v>
      </c>
      <c r="L66" t="s">
        <v>38</v>
      </c>
      <c r="M66" t="s">
        <v>16</v>
      </c>
      <c r="N66" s="2">
        <v>938</v>
      </c>
      <c r="O66" s="3">
        <v>6</v>
      </c>
    </row>
    <row r="67" spans="11:15" x14ac:dyDescent="0.2">
      <c r="K67" t="s">
        <v>8</v>
      </c>
      <c r="L67" t="s">
        <v>37</v>
      </c>
      <c r="M67" t="s">
        <v>15</v>
      </c>
      <c r="N67" s="2">
        <v>9709</v>
      </c>
      <c r="O67" s="3">
        <v>30</v>
      </c>
    </row>
    <row r="68" spans="11:15" x14ac:dyDescent="0.2">
      <c r="K68" t="s">
        <v>7</v>
      </c>
      <c r="L68" t="s">
        <v>34</v>
      </c>
      <c r="M68" t="s">
        <v>20</v>
      </c>
      <c r="N68" s="2">
        <v>2205</v>
      </c>
      <c r="O68" s="3">
        <v>138</v>
      </c>
    </row>
    <row r="69" spans="11:15" x14ac:dyDescent="0.2">
      <c r="K69" t="s">
        <v>7</v>
      </c>
      <c r="L69" t="s">
        <v>37</v>
      </c>
      <c r="M69" t="s">
        <v>17</v>
      </c>
      <c r="N69" s="2">
        <v>4487</v>
      </c>
      <c r="O69" s="3">
        <v>111</v>
      </c>
    </row>
    <row r="70" spans="11:15" x14ac:dyDescent="0.2">
      <c r="K70" t="s">
        <v>5</v>
      </c>
      <c r="L70" t="s">
        <v>35</v>
      </c>
      <c r="M70" t="s">
        <v>18</v>
      </c>
      <c r="N70" s="2">
        <v>2415</v>
      </c>
      <c r="O70" s="3">
        <v>15</v>
      </c>
    </row>
    <row r="71" spans="11:15" x14ac:dyDescent="0.2">
      <c r="K71" t="s">
        <v>40</v>
      </c>
      <c r="L71" t="s">
        <v>34</v>
      </c>
      <c r="M71" t="s">
        <v>19</v>
      </c>
      <c r="N71" s="2">
        <v>4018</v>
      </c>
      <c r="O71" s="3">
        <v>162</v>
      </c>
    </row>
    <row r="72" spans="11:15" x14ac:dyDescent="0.2">
      <c r="K72" t="s">
        <v>5</v>
      </c>
      <c r="L72" t="s">
        <v>34</v>
      </c>
      <c r="M72" t="s">
        <v>19</v>
      </c>
      <c r="N72" s="2">
        <v>861</v>
      </c>
      <c r="O72" s="3">
        <v>195</v>
      </c>
    </row>
    <row r="73" spans="11:15" x14ac:dyDescent="0.2">
      <c r="K73" t="s">
        <v>10</v>
      </c>
      <c r="L73" t="s">
        <v>38</v>
      </c>
      <c r="M73" t="s">
        <v>14</v>
      </c>
      <c r="N73" s="2">
        <v>5586</v>
      </c>
      <c r="O73" s="3">
        <v>525</v>
      </c>
    </row>
    <row r="74" spans="11:15" x14ac:dyDescent="0.2">
      <c r="K74" t="s">
        <v>7</v>
      </c>
      <c r="L74" t="s">
        <v>34</v>
      </c>
      <c r="M74" t="s">
        <v>33</v>
      </c>
      <c r="N74" s="2">
        <v>2226</v>
      </c>
      <c r="O74" s="3">
        <v>48</v>
      </c>
    </row>
    <row r="75" spans="11:15" x14ac:dyDescent="0.2">
      <c r="K75" t="s">
        <v>9</v>
      </c>
      <c r="L75" t="s">
        <v>34</v>
      </c>
      <c r="M75" t="s">
        <v>28</v>
      </c>
      <c r="N75" s="2">
        <v>14329</v>
      </c>
      <c r="O75" s="3">
        <v>150</v>
      </c>
    </row>
    <row r="76" spans="11:15" x14ac:dyDescent="0.2">
      <c r="K76" t="s">
        <v>9</v>
      </c>
      <c r="L76" t="s">
        <v>34</v>
      </c>
      <c r="M76" t="s">
        <v>20</v>
      </c>
      <c r="N76" s="2">
        <v>8463</v>
      </c>
      <c r="O76" s="3">
        <v>492</v>
      </c>
    </row>
    <row r="77" spans="11:15" x14ac:dyDescent="0.2">
      <c r="K77" t="s">
        <v>5</v>
      </c>
      <c r="L77" t="s">
        <v>34</v>
      </c>
      <c r="M77" t="s">
        <v>29</v>
      </c>
      <c r="N77" s="2">
        <v>2891</v>
      </c>
      <c r="O77" s="3">
        <v>102</v>
      </c>
    </row>
    <row r="78" spans="11:15" x14ac:dyDescent="0.2">
      <c r="K78" t="s">
        <v>3</v>
      </c>
      <c r="L78" t="s">
        <v>36</v>
      </c>
      <c r="M78" t="s">
        <v>23</v>
      </c>
      <c r="N78" s="2">
        <v>3773</v>
      </c>
      <c r="O78" s="3">
        <v>165</v>
      </c>
    </row>
    <row r="79" spans="11:15" x14ac:dyDescent="0.2">
      <c r="K79" t="s">
        <v>41</v>
      </c>
      <c r="L79" t="s">
        <v>36</v>
      </c>
      <c r="M79" t="s">
        <v>28</v>
      </c>
      <c r="N79" s="2">
        <v>854</v>
      </c>
      <c r="O79" s="3">
        <v>309</v>
      </c>
    </row>
    <row r="80" spans="11:15" x14ac:dyDescent="0.2">
      <c r="K80" t="s">
        <v>6</v>
      </c>
      <c r="L80" t="s">
        <v>36</v>
      </c>
      <c r="M80" t="s">
        <v>17</v>
      </c>
      <c r="N80" s="2">
        <v>4970</v>
      </c>
      <c r="O80" s="3">
        <v>156</v>
      </c>
    </row>
    <row r="81" spans="11:15" x14ac:dyDescent="0.2">
      <c r="K81" t="s">
        <v>9</v>
      </c>
      <c r="L81" t="s">
        <v>35</v>
      </c>
      <c r="M81" t="s">
        <v>26</v>
      </c>
      <c r="N81" s="2">
        <v>98</v>
      </c>
      <c r="O81" s="3">
        <v>159</v>
      </c>
    </row>
    <row r="82" spans="11:15" x14ac:dyDescent="0.2">
      <c r="K82" t="s">
        <v>5</v>
      </c>
      <c r="L82" t="s">
        <v>35</v>
      </c>
      <c r="M82" t="s">
        <v>15</v>
      </c>
      <c r="N82" s="2">
        <v>13391</v>
      </c>
      <c r="O82" s="3">
        <v>201</v>
      </c>
    </row>
    <row r="83" spans="11:15" x14ac:dyDescent="0.2">
      <c r="K83" t="s">
        <v>8</v>
      </c>
      <c r="L83" t="s">
        <v>39</v>
      </c>
      <c r="M83" t="s">
        <v>31</v>
      </c>
      <c r="N83" s="2">
        <v>8890</v>
      </c>
      <c r="O83" s="3">
        <v>210</v>
      </c>
    </row>
    <row r="84" spans="11:15" x14ac:dyDescent="0.2">
      <c r="K84" t="s">
        <v>2</v>
      </c>
      <c r="L84" t="s">
        <v>38</v>
      </c>
      <c r="M84" t="s">
        <v>13</v>
      </c>
      <c r="N84" s="2">
        <v>56</v>
      </c>
      <c r="O84" s="3">
        <v>51</v>
      </c>
    </row>
    <row r="85" spans="11:15" x14ac:dyDescent="0.2">
      <c r="K85" t="s">
        <v>3</v>
      </c>
      <c r="L85" t="s">
        <v>36</v>
      </c>
      <c r="M85" t="s">
        <v>25</v>
      </c>
      <c r="N85" s="2">
        <v>3339</v>
      </c>
      <c r="O85" s="3">
        <v>39</v>
      </c>
    </row>
    <row r="86" spans="11:15" x14ac:dyDescent="0.2">
      <c r="K86" t="s">
        <v>10</v>
      </c>
      <c r="L86" t="s">
        <v>35</v>
      </c>
      <c r="M86" t="s">
        <v>18</v>
      </c>
      <c r="N86" s="2">
        <v>3808</v>
      </c>
      <c r="O86" s="3">
        <v>279</v>
      </c>
    </row>
    <row r="87" spans="11:15" x14ac:dyDescent="0.2">
      <c r="K87" t="s">
        <v>10</v>
      </c>
      <c r="L87" t="s">
        <v>38</v>
      </c>
      <c r="M87" t="s">
        <v>13</v>
      </c>
      <c r="N87" s="2">
        <v>63</v>
      </c>
      <c r="O87" s="3">
        <v>123</v>
      </c>
    </row>
    <row r="88" spans="11:15" x14ac:dyDescent="0.2">
      <c r="K88" t="s">
        <v>2</v>
      </c>
      <c r="L88" t="s">
        <v>39</v>
      </c>
      <c r="M88" t="s">
        <v>27</v>
      </c>
      <c r="N88" s="2">
        <v>7812</v>
      </c>
      <c r="O88" s="3">
        <v>81</v>
      </c>
    </row>
    <row r="89" spans="11:15" x14ac:dyDescent="0.2">
      <c r="K89" t="s">
        <v>40</v>
      </c>
      <c r="L89" t="s">
        <v>37</v>
      </c>
      <c r="M89" t="s">
        <v>19</v>
      </c>
      <c r="N89" s="2">
        <v>7693</v>
      </c>
      <c r="O89" s="3">
        <v>21</v>
      </c>
    </row>
    <row r="90" spans="11:15" x14ac:dyDescent="0.2">
      <c r="K90" t="s">
        <v>3</v>
      </c>
      <c r="L90" t="s">
        <v>36</v>
      </c>
      <c r="M90" t="s">
        <v>28</v>
      </c>
      <c r="N90" s="2">
        <v>973</v>
      </c>
      <c r="O90" s="3">
        <v>162</v>
      </c>
    </row>
    <row r="91" spans="11:15" x14ac:dyDescent="0.2">
      <c r="K91" t="s">
        <v>10</v>
      </c>
      <c r="L91" t="s">
        <v>35</v>
      </c>
      <c r="M91" t="s">
        <v>21</v>
      </c>
      <c r="N91" s="2">
        <v>567</v>
      </c>
      <c r="O91" s="3">
        <v>228</v>
      </c>
    </row>
    <row r="92" spans="11:15" x14ac:dyDescent="0.2">
      <c r="K92" t="s">
        <v>10</v>
      </c>
      <c r="L92" t="s">
        <v>36</v>
      </c>
      <c r="M92" t="s">
        <v>29</v>
      </c>
      <c r="N92" s="2">
        <v>2471</v>
      </c>
      <c r="O92" s="3">
        <v>342</v>
      </c>
    </row>
    <row r="93" spans="11:15" x14ac:dyDescent="0.2">
      <c r="K93" t="s">
        <v>5</v>
      </c>
      <c r="L93" t="s">
        <v>38</v>
      </c>
      <c r="M93" t="s">
        <v>13</v>
      </c>
      <c r="N93" s="2">
        <v>7189</v>
      </c>
      <c r="O93" s="3">
        <v>54</v>
      </c>
    </row>
    <row r="94" spans="11:15" x14ac:dyDescent="0.2">
      <c r="K94" t="s">
        <v>41</v>
      </c>
      <c r="L94" t="s">
        <v>35</v>
      </c>
      <c r="M94" t="s">
        <v>28</v>
      </c>
      <c r="N94" s="2">
        <v>7455</v>
      </c>
      <c r="O94" s="3">
        <v>216</v>
      </c>
    </row>
    <row r="95" spans="11:15" x14ac:dyDescent="0.2">
      <c r="K95" t="s">
        <v>3</v>
      </c>
      <c r="L95" t="s">
        <v>34</v>
      </c>
      <c r="M95" t="s">
        <v>26</v>
      </c>
      <c r="N95" s="2">
        <v>3108</v>
      </c>
      <c r="O95" s="3">
        <v>54</v>
      </c>
    </row>
    <row r="96" spans="11:15" x14ac:dyDescent="0.2">
      <c r="K96" t="s">
        <v>6</v>
      </c>
      <c r="L96" t="s">
        <v>38</v>
      </c>
      <c r="M96" t="s">
        <v>25</v>
      </c>
      <c r="N96" s="2">
        <v>469</v>
      </c>
      <c r="O96" s="3">
        <v>75</v>
      </c>
    </row>
    <row r="97" spans="11:15" x14ac:dyDescent="0.2">
      <c r="K97" t="s">
        <v>9</v>
      </c>
      <c r="L97" t="s">
        <v>37</v>
      </c>
      <c r="M97" t="s">
        <v>23</v>
      </c>
      <c r="N97" s="2">
        <v>2737</v>
      </c>
      <c r="O97" s="3">
        <v>93</v>
      </c>
    </row>
    <row r="98" spans="11:15" x14ac:dyDescent="0.2">
      <c r="K98" t="s">
        <v>9</v>
      </c>
      <c r="L98" t="s">
        <v>37</v>
      </c>
      <c r="M98" t="s">
        <v>25</v>
      </c>
      <c r="N98" s="2">
        <v>4305</v>
      </c>
      <c r="O98" s="3">
        <v>156</v>
      </c>
    </row>
    <row r="99" spans="11:15" x14ac:dyDescent="0.2">
      <c r="K99" t="s">
        <v>9</v>
      </c>
      <c r="L99" t="s">
        <v>38</v>
      </c>
      <c r="M99" t="s">
        <v>17</v>
      </c>
      <c r="N99" s="2">
        <v>2408</v>
      </c>
      <c r="O99" s="3">
        <v>9</v>
      </c>
    </row>
    <row r="100" spans="11:15" x14ac:dyDescent="0.2">
      <c r="K100" t="s">
        <v>3</v>
      </c>
      <c r="L100" t="s">
        <v>36</v>
      </c>
      <c r="M100" t="s">
        <v>19</v>
      </c>
      <c r="N100" s="2">
        <v>1281</v>
      </c>
      <c r="O100" s="3">
        <v>18</v>
      </c>
    </row>
    <row r="101" spans="11:15" x14ac:dyDescent="0.2">
      <c r="K101" t="s">
        <v>40</v>
      </c>
      <c r="L101" t="s">
        <v>35</v>
      </c>
      <c r="M101" t="s">
        <v>32</v>
      </c>
      <c r="N101" s="2">
        <v>12348</v>
      </c>
      <c r="O101" s="3">
        <v>234</v>
      </c>
    </row>
    <row r="102" spans="11:15" x14ac:dyDescent="0.2">
      <c r="K102" t="s">
        <v>3</v>
      </c>
      <c r="L102" t="s">
        <v>34</v>
      </c>
      <c r="M102" t="s">
        <v>28</v>
      </c>
      <c r="N102" s="2">
        <v>3689</v>
      </c>
      <c r="O102" s="3">
        <v>312</v>
      </c>
    </row>
    <row r="103" spans="11:15" x14ac:dyDescent="0.2">
      <c r="K103" t="s">
        <v>7</v>
      </c>
      <c r="L103" t="s">
        <v>36</v>
      </c>
      <c r="M103" t="s">
        <v>19</v>
      </c>
      <c r="N103" s="2">
        <v>2870</v>
      </c>
      <c r="O103" s="3">
        <v>300</v>
      </c>
    </row>
    <row r="104" spans="11:15" x14ac:dyDescent="0.2">
      <c r="K104" t="s">
        <v>2</v>
      </c>
      <c r="L104" t="s">
        <v>36</v>
      </c>
      <c r="M104" t="s">
        <v>27</v>
      </c>
      <c r="N104" s="2">
        <v>798</v>
      </c>
      <c r="O104" s="3">
        <v>519</v>
      </c>
    </row>
    <row r="105" spans="11:15" x14ac:dyDescent="0.2">
      <c r="K105" t="s">
        <v>41</v>
      </c>
      <c r="L105" t="s">
        <v>37</v>
      </c>
      <c r="M105" t="s">
        <v>21</v>
      </c>
      <c r="N105" s="2">
        <v>2933</v>
      </c>
      <c r="O105" s="3">
        <v>9</v>
      </c>
    </row>
    <row r="106" spans="11:15" x14ac:dyDescent="0.2">
      <c r="K106" t="s">
        <v>5</v>
      </c>
      <c r="L106" t="s">
        <v>35</v>
      </c>
      <c r="M106" t="s">
        <v>4</v>
      </c>
      <c r="N106" s="2">
        <v>2744</v>
      </c>
      <c r="O106" s="3">
        <v>9</v>
      </c>
    </row>
    <row r="107" spans="11:15" x14ac:dyDescent="0.2">
      <c r="K107" t="s">
        <v>40</v>
      </c>
      <c r="L107" t="s">
        <v>36</v>
      </c>
      <c r="M107" t="s">
        <v>33</v>
      </c>
      <c r="N107" s="2">
        <v>9772</v>
      </c>
      <c r="O107" s="3">
        <v>90</v>
      </c>
    </row>
    <row r="108" spans="11:15" x14ac:dyDescent="0.2">
      <c r="K108" t="s">
        <v>7</v>
      </c>
      <c r="L108" t="s">
        <v>34</v>
      </c>
      <c r="M108" t="s">
        <v>25</v>
      </c>
      <c r="N108" s="2">
        <v>1568</v>
      </c>
      <c r="O108" s="3">
        <v>96</v>
      </c>
    </row>
    <row r="109" spans="11:15" x14ac:dyDescent="0.2">
      <c r="K109" t="s">
        <v>2</v>
      </c>
      <c r="L109" t="s">
        <v>36</v>
      </c>
      <c r="M109" t="s">
        <v>16</v>
      </c>
      <c r="N109" s="2">
        <v>11417</v>
      </c>
      <c r="O109" s="3">
        <v>21</v>
      </c>
    </row>
    <row r="110" spans="11:15" x14ac:dyDescent="0.2">
      <c r="K110" t="s">
        <v>40</v>
      </c>
      <c r="L110" t="s">
        <v>34</v>
      </c>
      <c r="M110" t="s">
        <v>26</v>
      </c>
      <c r="N110" s="2">
        <v>6748</v>
      </c>
      <c r="O110" s="3">
        <v>48</v>
      </c>
    </row>
    <row r="111" spans="11:15" x14ac:dyDescent="0.2">
      <c r="K111" t="s">
        <v>10</v>
      </c>
      <c r="L111" t="s">
        <v>36</v>
      </c>
      <c r="M111" t="s">
        <v>27</v>
      </c>
      <c r="N111" s="2">
        <v>1407</v>
      </c>
      <c r="O111" s="3">
        <v>72</v>
      </c>
    </row>
    <row r="112" spans="11:15" x14ac:dyDescent="0.2">
      <c r="K112" t="s">
        <v>8</v>
      </c>
      <c r="L112" t="s">
        <v>35</v>
      </c>
      <c r="M112" t="s">
        <v>29</v>
      </c>
      <c r="N112" s="2">
        <v>2023</v>
      </c>
      <c r="O112" s="3">
        <v>168</v>
      </c>
    </row>
    <row r="113" spans="11:15" x14ac:dyDescent="0.2">
      <c r="K113" t="s">
        <v>5</v>
      </c>
      <c r="L113" t="s">
        <v>39</v>
      </c>
      <c r="M113" t="s">
        <v>26</v>
      </c>
      <c r="N113" s="2">
        <v>5236</v>
      </c>
      <c r="O113" s="3">
        <v>51</v>
      </c>
    </row>
    <row r="114" spans="11:15" x14ac:dyDescent="0.2">
      <c r="K114" t="s">
        <v>41</v>
      </c>
      <c r="L114" t="s">
        <v>36</v>
      </c>
      <c r="M114" t="s">
        <v>19</v>
      </c>
      <c r="N114" s="2">
        <v>1925</v>
      </c>
      <c r="O114" s="3">
        <v>192</v>
      </c>
    </row>
    <row r="115" spans="11:15" x14ac:dyDescent="0.2">
      <c r="K115" t="s">
        <v>7</v>
      </c>
      <c r="L115" t="s">
        <v>37</v>
      </c>
      <c r="M115" t="s">
        <v>14</v>
      </c>
      <c r="N115" s="2">
        <v>6608</v>
      </c>
      <c r="O115" s="3">
        <v>225</v>
      </c>
    </row>
    <row r="116" spans="11:15" x14ac:dyDescent="0.2">
      <c r="K116" t="s">
        <v>6</v>
      </c>
      <c r="L116" t="s">
        <v>34</v>
      </c>
      <c r="M116" t="s">
        <v>26</v>
      </c>
      <c r="N116" s="2">
        <v>8008</v>
      </c>
      <c r="O116" s="3">
        <v>456</v>
      </c>
    </row>
    <row r="117" spans="11:15" x14ac:dyDescent="0.2">
      <c r="K117" t="s">
        <v>10</v>
      </c>
      <c r="L117" t="s">
        <v>34</v>
      </c>
      <c r="M117" t="s">
        <v>25</v>
      </c>
      <c r="N117" s="2">
        <v>1428</v>
      </c>
      <c r="O117" s="3">
        <v>93</v>
      </c>
    </row>
    <row r="118" spans="11:15" x14ac:dyDescent="0.2">
      <c r="K118" t="s">
        <v>6</v>
      </c>
      <c r="L118" t="s">
        <v>34</v>
      </c>
      <c r="M118" t="s">
        <v>4</v>
      </c>
      <c r="N118" s="2">
        <v>525</v>
      </c>
      <c r="O118" s="3">
        <v>48</v>
      </c>
    </row>
    <row r="119" spans="11:15" x14ac:dyDescent="0.2">
      <c r="K119" t="s">
        <v>6</v>
      </c>
      <c r="L119" t="s">
        <v>37</v>
      </c>
      <c r="M119" t="s">
        <v>18</v>
      </c>
      <c r="N119" s="2">
        <v>1505</v>
      </c>
      <c r="O119" s="3">
        <v>102</v>
      </c>
    </row>
    <row r="120" spans="11:15" x14ac:dyDescent="0.2">
      <c r="K120" t="s">
        <v>7</v>
      </c>
      <c r="L120" t="s">
        <v>35</v>
      </c>
      <c r="M120" t="s">
        <v>30</v>
      </c>
      <c r="N120" s="2">
        <v>6755</v>
      </c>
      <c r="O120" s="3">
        <v>252</v>
      </c>
    </row>
    <row r="121" spans="11:15" x14ac:dyDescent="0.2">
      <c r="K121" t="s">
        <v>2</v>
      </c>
      <c r="L121" t="s">
        <v>37</v>
      </c>
      <c r="M121" t="s">
        <v>18</v>
      </c>
      <c r="N121" s="2">
        <v>11571</v>
      </c>
      <c r="O121" s="3">
        <v>138</v>
      </c>
    </row>
    <row r="122" spans="11:15" x14ac:dyDescent="0.2">
      <c r="K122" t="s">
        <v>40</v>
      </c>
      <c r="L122" t="s">
        <v>38</v>
      </c>
      <c r="M122" t="s">
        <v>25</v>
      </c>
      <c r="N122" s="2">
        <v>2541</v>
      </c>
      <c r="O122" s="3">
        <v>90</v>
      </c>
    </row>
    <row r="123" spans="11:15" x14ac:dyDescent="0.2">
      <c r="K123" t="s">
        <v>41</v>
      </c>
      <c r="L123" t="s">
        <v>37</v>
      </c>
      <c r="M123" t="s">
        <v>30</v>
      </c>
      <c r="N123" s="2">
        <v>1526</v>
      </c>
      <c r="O123" s="3">
        <v>240</v>
      </c>
    </row>
    <row r="124" spans="11:15" x14ac:dyDescent="0.2">
      <c r="K124" t="s">
        <v>40</v>
      </c>
      <c r="L124" t="s">
        <v>38</v>
      </c>
      <c r="M124" t="s">
        <v>4</v>
      </c>
      <c r="N124" s="2">
        <v>6125</v>
      </c>
      <c r="O124" s="3">
        <v>102</v>
      </c>
    </row>
    <row r="125" spans="11:15" x14ac:dyDescent="0.2">
      <c r="K125" t="s">
        <v>41</v>
      </c>
      <c r="L125" t="s">
        <v>35</v>
      </c>
      <c r="M125" t="s">
        <v>27</v>
      </c>
      <c r="N125" s="2">
        <v>847</v>
      </c>
      <c r="O125" s="3">
        <v>129</v>
      </c>
    </row>
    <row r="126" spans="11:15" x14ac:dyDescent="0.2">
      <c r="K126" t="s">
        <v>8</v>
      </c>
      <c r="L126" t="s">
        <v>35</v>
      </c>
      <c r="M126" t="s">
        <v>27</v>
      </c>
      <c r="N126" s="2">
        <v>4753</v>
      </c>
      <c r="O126" s="3">
        <v>300</v>
      </c>
    </row>
    <row r="127" spans="11:15" x14ac:dyDescent="0.2">
      <c r="K127" t="s">
        <v>6</v>
      </c>
      <c r="L127" t="s">
        <v>38</v>
      </c>
      <c r="M127" t="s">
        <v>33</v>
      </c>
      <c r="N127" s="2">
        <v>959</v>
      </c>
      <c r="O127" s="3">
        <v>135</v>
      </c>
    </row>
    <row r="128" spans="11:15" x14ac:dyDescent="0.2">
      <c r="K128" t="s">
        <v>7</v>
      </c>
      <c r="L128" t="s">
        <v>35</v>
      </c>
      <c r="M128" t="s">
        <v>24</v>
      </c>
      <c r="N128" s="2">
        <v>2793</v>
      </c>
      <c r="O128" s="3">
        <v>114</v>
      </c>
    </row>
    <row r="129" spans="11:15" x14ac:dyDescent="0.2">
      <c r="K129" t="s">
        <v>7</v>
      </c>
      <c r="L129" t="s">
        <v>35</v>
      </c>
      <c r="M129" t="s">
        <v>14</v>
      </c>
      <c r="N129" s="2">
        <v>4606</v>
      </c>
      <c r="O129" s="3">
        <v>63</v>
      </c>
    </row>
    <row r="130" spans="11:15" x14ac:dyDescent="0.2">
      <c r="K130" t="s">
        <v>7</v>
      </c>
      <c r="L130" t="s">
        <v>36</v>
      </c>
      <c r="M130" t="s">
        <v>29</v>
      </c>
      <c r="N130" s="2">
        <v>5551</v>
      </c>
      <c r="O130" s="3">
        <v>252</v>
      </c>
    </row>
    <row r="131" spans="11:15" x14ac:dyDescent="0.2">
      <c r="K131" t="s">
        <v>10</v>
      </c>
      <c r="L131" t="s">
        <v>36</v>
      </c>
      <c r="M131" t="s">
        <v>32</v>
      </c>
      <c r="N131" s="2">
        <v>6657</v>
      </c>
      <c r="O131" s="3">
        <v>303</v>
      </c>
    </row>
    <row r="132" spans="11:15" x14ac:dyDescent="0.2">
      <c r="K132" t="s">
        <v>7</v>
      </c>
      <c r="L132" t="s">
        <v>39</v>
      </c>
      <c r="M132" t="s">
        <v>17</v>
      </c>
      <c r="N132" s="2">
        <v>4438</v>
      </c>
      <c r="O132" s="3">
        <v>246</v>
      </c>
    </row>
    <row r="133" spans="11:15" x14ac:dyDescent="0.2">
      <c r="K133" t="s">
        <v>8</v>
      </c>
      <c r="L133" t="s">
        <v>38</v>
      </c>
      <c r="M133" t="s">
        <v>22</v>
      </c>
      <c r="N133" s="2">
        <v>168</v>
      </c>
      <c r="O133" s="3">
        <v>84</v>
      </c>
    </row>
    <row r="134" spans="11:15" x14ac:dyDescent="0.2">
      <c r="K134" t="s">
        <v>7</v>
      </c>
      <c r="L134" t="s">
        <v>34</v>
      </c>
      <c r="M134" t="s">
        <v>17</v>
      </c>
      <c r="N134" s="2">
        <v>7777</v>
      </c>
      <c r="O134" s="3">
        <v>39</v>
      </c>
    </row>
    <row r="135" spans="11:15" x14ac:dyDescent="0.2">
      <c r="K135" t="s">
        <v>5</v>
      </c>
      <c r="L135" t="s">
        <v>36</v>
      </c>
      <c r="M135" t="s">
        <v>17</v>
      </c>
      <c r="N135" s="2">
        <v>3339</v>
      </c>
      <c r="O135" s="3">
        <v>348</v>
      </c>
    </row>
    <row r="136" spans="11:15" x14ac:dyDescent="0.2">
      <c r="K136" t="s">
        <v>7</v>
      </c>
      <c r="L136" t="s">
        <v>37</v>
      </c>
      <c r="M136" t="s">
        <v>33</v>
      </c>
      <c r="N136" s="2">
        <v>6391</v>
      </c>
      <c r="O136" s="3">
        <v>48</v>
      </c>
    </row>
    <row r="137" spans="11:15" x14ac:dyDescent="0.2">
      <c r="K137" t="s">
        <v>5</v>
      </c>
      <c r="L137" t="s">
        <v>37</v>
      </c>
      <c r="M137" t="s">
        <v>22</v>
      </c>
      <c r="N137" s="2">
        <v>518</v>
      </c>
      <c r="O137" s="3">
        <v>75</v>
      </c>
    </row>
    <row r="138" spans="11:15" x14ac:dyDescent="0.2">
      <c r="K138" t="s">
        <v>7</v>
      </c>
      <c r="L138" t="s">
        <v>38</v>
      </c>
      <c r="M138" t="s">
        <v>28</v>
      </c>
      <c r="N138" s="2">
        <v>5677</v>
      </c>
      <c r="O138" s="3">
        <v>258</v>
      </c>
    </row>
    <row r="139" spans="11:15" x14ac:dyDescent="0.2">
      <c r="K139" t="s">
        <v>6</v>
      </c>
      <c r="L139" t="s">
        <v>39</v>
      </c>
      <c r="M139" t="s">
        <v>17</v>
      </c>
      <c r="N139" s="2">
        <v>6048</v>
      </c>
      <c r="O139" s="3">
        <v>27</v>
      </c>
    </row>
    <row r="140" spans="11:15" x14ac:dyDescent="0.2">
      <c r="K140" t="s">
        <v>8</v>
      </c>
      <c r="L140" t="s">
        <v>38</v>
      </c>
      <c r="M140" t="s">
        <v>32</v>
      </c>
      <c r="N140" s="2">
        <v>3752</v>
      </c>
      <c r="O140" s="3">
        <v>213</v>
      </c>
    </row>
    <row r="141" spans="11:15" x14ac:dyDescent="0.2">
      <c r="K141" t="s">
        <v>5</v>
      </c>
      <c r="L141" t="s">
        <v>35</v>
      </c>
      <c r="M141" t="s">
        <v>29</v>
      </c>
      <c r="N141" s="2">
        <v>4480</v>
      </c>
      <c r="O141" s="3">
        <v>357</v>
      </c>
    </row>
    <row r="142" spans="11:15" x14ac:dyDescent="0.2">
      <c r="K142" t="s">
        <v>9</v>
      </c>
      <c r="L142" t="s">
        <v>37</v>
      </c>
      <c r="M142" t="s">
        <v>4</v>
      </c>
      <c r="N142" s="2">
        <v>259</v>
      </c>
      <c r="O142" s="3">
        <v>207</v>
      </c>
    </row>
    <row r="143" spans="11:15" x14ac:dyDescent="0.2">
      <c r="K143" t="s">
        <v>8</v>
      </c>
      <c r="L143" t="s">
        <v>37</v>
      </c>
      <c r="M143" t="s">
        <v>30</v>
      </c>
      <c r="N143" s="2">
        <v>42</v>
      </c>
      <c r="O143" s="3">
        <v>150</v>
      </c>
    </row>
    <row r="144" spans="11:15" x14ac:dyDescent="0.2">
      <c r="K144" t="s">
        <v>41</v>
      </c>
      <c r="L144" t="s">
        <v>36</v>
      </c>
      <c r="M144" t="s">
        <v>26</v>
      </c>
      <c r="N144" s="2">
        <v>98</v>
      </c>
      <c r="O144" s="3">
        <v>204</v>
      </c>
    </row>
    <row r="145" spans="11:15" x14ac:dyDescent="0.2">
      <c r="K145" t="s">
        <v>7</v>
      </c>
      <c r="L145" t="s">
        <v>35</v>
      </c>
      <c r="M145" t="s">
        <v>27</v>
      </c>
      <c r="N145" s="2">
        <v>2478</v>
      </c>
      <c r="O145" s="3">
        <v>21</v>
      </c>
    </row>
    <row r="146" spans="11:15" x14ac:dyDescent="0.2">
      <c r="K146" t="s">
        <v>41</v>
      </c>
      <c r="L146" t="s">
        <v>34</v>
      </c>
      <c r="M146" t="s">
        <v>33</v>
      </c>
      <c r="N146" s="2">
        <v>7847</v>
      </c>
      <c r="O146" s="3">
        <v>174</v>
      </c>
    </row>
    <row r="147" spans="11:15" x14ac:dyDescent="0.2">
      <c r="K147" t="s">
        <v>2</v>
      </c>
      <c r="L147" t="s">
        <v>37</v>
      </c>
      <c r="M147" t="s">
        <v>17</v>
      </c>
      <c r="N147" s="2">
        <v>9926</v>
      </c>
      <c r="O147" s="3">
        <v>201</v>
      </c>
    </row>
    <row r="148" spans="11:15" x14ac:dyDescent="0.2">
      <c r="K148" t="s">
        <v>8</v>
      </c>
      <c r="L148" t="s">
        <v>38</v>
      </c>
      <c r="M148" t="s">
        <v>13</v>
      </c>
      <c r="N148" s="2">
        <v>819</v>
      </c>
      <c r="O148" s="3">
        <v>510</v>
      </c>
    </row>
    <row r="149" spans="11:15" x14ac:dyDescent="0.2">
      <c r="K149" t="s">
        <v>6</v>
      </c>
      <c r="L149" t="s">
        <v>39</v>
      </c>
      <c r="M149" t="s">
        <v>29</v>
      </c>
      <c r="N149" s="2">
        <v>3052</v>
      </c>
      <c r="O149" s="3">
        <v>378</v>
      </c>
    </row>
    <row r="150" spans="11:15" x14ac:dyDescent="0.2">
      <c r="K150" t="s">
        <v>9</v>
      </c>
      <c r="L150" t="s">
        <v>34</v>
      </c>
      <c r="M150" t="s">
        <v>21</v>
      </c>
      <c r="N150" s="2">
        <v>6832</v>
      </c>
      <c r="O150" s="3">
        <v>27</v>
      </c>
    </row>
    <row r="151" spans="11:15" x14ac:dyDescent="0.2">
      <c r="K151" t="s">
        <v>2</v>
      </c>
      <c r="L151" t="s">
        <v>39</v>
      </c>
      <c r="M151" t="s">
        <v>16</v>
      </c>
      <c r="N151" s="2">
        <v>2016</v>
      </c>
      <c r="O151" s="3">
        <v>117</v>
      </c>
    </row>
    <row r="152" spans="11:15" x14ac:dyDescent="0.2">
      <c r="K152" t="s">
        <v>6</v>
      </c>
      <c r="L152" t="s">
        <v>38</v>
      </c>
      <c r="M152" t="s">
        <v>21</v>
      </c>
      <c r="N152" s="2">
        <v>7322</v>
      </c>
      <c r="O152" s="3">
        <v>36</v>
      </c>
    </row>
    <row r="153" spans="11:15" x14ac:dyDescent="0.2">
      <c r="K153" t="s">
        <v>8</v>
      </c>
      <c r="L153" t="s">
        <v>35</v>
      </c>
      <c r="M153" t="s">
        <v>33</v>
      </c>
      <c r="N153" s="2">
        <v>357</v>
      </c>
      <c r="O153" s="3">
        <v>126</v>
      </c>
    </row>
    <row r="154" spans="11:15" x14ac:dyDescent="0.2">
      <c r="K154" t="s">
        <v>9</v>
      </c>
      <c r="L154" t="s">
        <v>39</v>
      </c>
      <c r="M154" t="s">
        <v>25</v>
      </c>
      <c r="N154" s="2">
        <v>3192</v>
      </c>
      <c r="O154" s="3">
        <v>72</v>
      </c>
    </row>
    <row r="155" spans="11:15" x14ac:dyDescent="0.2">
      <c r="K155" t="s">
        <v>7</v>
      </c>
      <c r="L155" t="s">
        <v>36</v>
      </c>
      <c r="M155" t="s">
        <v>22</v>
      </c>
      <c r="N155" s="2">
        <v>8435</v>
      </c>
      <c r="O155" s="3">
        <v>42</v>
      </c>
    </row>
    <row r="156" spans="11:15" x14ac:dyDescent="0.2">
      <c r="K156" t="s">
        <v>40</v>
      </c>
      <c r="L156" t="s">
        <v>39</v>
      </c>
      <c r="M156" t="s">
        <v>29</v>
      </c>
      <c r="N156" s="2">
        <v>0</v>
      </c>
      <c r="O156" s="3">
        <v>135</v>
      </c>
    </row>
    <row r="157" spans="11:15" x14ac:dyDescent="0.2">
      <c r="K157" t="s">
        <v>7</v>
      </c>
      <c r="L157" t="s">
        <v>34</v>
      </c>
      <c r="M157" t="s">
        <v>24</v>
      </c>
      <c r="N157" s="2">
        <v>8862</v>
      </c>
      <c r="O157" s="3">
        <v>189</v>
      </c>
    </row>
    <row r="158" spans="11:15" x14ac:dyDescent="0.2">
      <c r="K158" t="s">
        <v>6</v>
      </c>
      <c r="L158" t="s">
        <v>37</v>
      </c>
      <c r="M158" t="s">
        <v>28</v>
      </c>
      <c r="N158" s="2">
        <v>3556</v>
      </c>
      <c r="O158" s="3">
        <v>459</v>
      </c>
    </row>
    <row r="159" spans="11:15" x14ac:dyDescent="0.2">
      <c r="K159" t="s">
        <v>5</v>
      </c>
      <c r="L159" t="s">
        <v>34</v>
      </c>
      <c r="M159" t="s">
        <v>15</v>
      </c>
      <c r="N159" s="2">
        <v>7280</v>
      </c>
      <c r="O159" s="3">
        <v>201</v>
      </c>
    </row>
    <row r="160" spans="11:15" x14ac:dyDescent="0.2">
      <c r="K160" t="s">
        <v>6</v>
      </c>
      <c r="L160" t="s">
        <v>34</v>
      </c>
      <c r="M160" t="s">
        <v>30</v>
      </c>
      <c r="N160" s="2">
        <v>3402</v>
      </c>
      <c r="O160" s="3">
        <v>366</v>
      </c>
    </row>
    <row r="161" spans="11:15" x14ac:dyDescent="0.2">
      <c r="K161" t="s">
        <v>3</v>
      </c>
      <c r="L161" t="s">
        <v>37</v>
      </c>
      <c r="M161" t="s">
        <v>29</v>
      </c>
      <c r="N161" s="2">
        <v>4592</v>
      </c>
      <c r="O161" s="3">
        <v>324</v>
      </c>
    </row>
    <row r="162" spans="11:15" x14ac:dyDescent="0.2">
      <c r="K162" t="s">
        <v>9</v>
      </c>
      <c r="L162" t="s">
        <v>35</v>
      </c>
      <c r="M162" t="s">
        <v>15</v>
      </c>
      <c r="N162" s="2">
        <v>7833</v>
      </c>
      <c r="O162" s="3">
        <v>243</v>
      </c>
    </row>
    <row r="163" spans="11:15" x14ac:dyDescent="0.2">
      <c r="K163" t="s">
        <v>2</v>
      </c>
      <c r="L163" t="s">
        <v>39</v>
      </c>
      <c r="M163" t="s">
        <v>21</v>
      </c>
      <c r="N163" s="2">
        <v>7651</v>
      </c>
      <c r="O163" s="3">
        <v>213</v>
      </c>
    </row>
    <row r="164" spans="11:15" x14ac:dyDescent="0.2">
      <c r="K164" t="s">
        <v>40</v>
      </c>
      <c r="L164" t="s">
        <v>35</v>
      </c>
      <c r="M164" t="s">
        <v>30</v>
      </c>
      <c r="N164" s="2">
        <v>2275</v>
      </c>
      <c r="O164" s="3">
        <v>447</v>
      </c>
    </row>
    <row r="165" spans="11:15" x14ac:dyDescent="0.2">
      <c r="K165" t="s">
        <v>40</v>
      </c>
      <c r="L165" t="s">
        <v>38</v>
      </c>
      <c r="M165" t="s">
        <v>13</v>
      </c>
      <c r="N165" s="2">
        <v>5670</v>
      </c>
      <c r="O165" s="3">
        <v>297</v>
      </c>
    </row>
    <row r="166" spans="11:15" x14ac:dyDescent="0.2">
      <c r="K166" t="s">
        <v>7</v>
      </c>
      <c r="L166" t="s">
        <v>35</v>
      </c>
      <c r="M166" t="s">
        <v>16</v>
      </c>
      <c r="N166" s="2">
        <v>2135</v>
      </c>
      <c r="O166" s="3">
        <v>27</v>
      </c>
    </row>
    <row r="167" spans="11:15" x14ac:dyDescent="0.2">
      <c r="K167" t="s">
        <v>40</v>
      </c>
      <c r="L167" t="s">
        <v>34</v>
      </c>
      <c r="M167" t="s">
        <v>23</v>
      </c>
      <c r="N167" s="2">
        <v>2779</v>
      </c>
      <c r="O167" s="3">
        <v>75</v>
      </c>
    </row>
    <row r="168" spans="11:15" x14ac:dyDescent="0.2">
      <c r="K168" t="s">
        <v>10</v>
      </c>
      <c r="L168" t="s">
        <v>39</v>
      </c>
      <c r="M168" t="s">
        <v>33</v>
      </c>
      <c r="N168" s="2">
        <v>12950</v>
      </c>
      <c r="O168" s="3">
        <v>30</v>
      </c>
    </row>
    <row r="169" spans="11:15" x14ac:dyDescent="0.2">
      <c r="K169" t="s">
        <v>7</v>
      </c>
      <c r="L169" t="s">
        <v>36</v>
      </c>
      <c r="M169" t="s">
        <v>18</v>
      </c>
      <c r="N169" s="2">
        <v>2646</v>
      </c>
      <c r="O169" s="3">
        <v>177</v>
      </c>
    </row>
    <row r="170" spans="11:15" x14ac:dyDescent="0.2">
      <c r="K170" t="s">
        <v>40</v>
      </c>
      <c r="L170" t="s">
        <v>34</v>
      </c>
      <c r="M170" t="s">
        <v>33</v>
      </c>
      <c r="N170" s="2">
        <v>3794</v>
      </c>
      <c r="O170" s="3">
        <v>159</v>
      </c>
    </row>
    <row r="171" spans="11:15" x14ac:dyDescent="0.2">
      <c r="K171" t="s">
        <v>3</v>
      </c>
      <c r="L171" t="s">
        <v>35</v>
      </c>
      <c r="M171" t="s">
        <v>33</v>
      </c>
      <c r="N171" s="2">
        <v>819</v>
      </c>
      <c r="O171" s="3">
        <v>306</v>
      </c>
    </row>
    <row r="172" spans="11:15" x14ac:dyDescent="0.2">
      <c r="K172" t="s">
        <v>3</v>
      </c>
      <c r="L172" t="s">
        <v>34</v>
      </c>
      <c r="M172" t="s">
        <v>20</v>
      </c>
      <c r="N172" s="2">
        <v>2583</v>
      </c>
      <c r="O172" s="3">
        <v>18</v>
      </c>
    </row>
    <row r="173" spans="11:15" x14ac:dyDescent="0.2">
      <c r="K173" t="s">
        <v>7</v>
      </c>
      <c r="L173" t="s">
        <v>35</v>
      </c>
      <c r="M173" t="s">
        <v>19</v>
      </c>
      <c r="N173" s="2">
        <v>4585</v>
      </c>
      <c r="O173" s="3">
        <v>240</v>
      </c>
    </row>
    <row r="174" spans="11:15" x14ac:dyDescent="0.2">
      <c r="K174" t="s">
        <v>5</v>
      </c>
      <c r="L174" t="s">
        <v>34</v>
      </c>
      <c r="M174" t="s">
        <v>33</v>
      </c>
      <c r="N174" s="2">
        <v>1652</v>
      </c>
      <c r="O174" s="3">
        <v>93</v>
      </c>
    </row>
    <row r="175" spans="11:15" x14ac:dyDescent="0.2">
      <c r="K175" t="s">
        <v>10</v>
      </c>
      <c r="L175" t="s">
        <v>34</v>
      </c>
      <c r="M175" t="s">
        <v>26</v>
      </c>
      <c r="N175" s="2">
        <v>4991</v>
      </c>
      <c r="O175" s="3">
        <v>9</v>
      </c>
    </row>
    <row r="176" spans="11:15" x14ac:dyDescent="0.2">
      <c r="K176" t="s">
        <v>8</v>
      </c>
      <c r="L176" t="s">
        <v>34</v>
      </c>
      <c r="M176" t="s">
        <v>16</v>
      </c>
      <c r="N176" s="2">
        <v>2009</v>
      </c>
      <c r="O176" s="3">
        <v>219</v>
      </c>
    </row>
    <row r="177" spans="11:15" x14ac:dyDescent="0.2">
      <c r="K177" t="s">
        <v>2</v>
      </c>
      <c r="L177" t="s">
        <v>39</v>
      </c>
      <c r="M177" t="s">
        <v>22</v>
      </c>
      <c r="N177" s="2">
        <v>1568</v>
      </c>
      <c r="O177" s="3">
        <v>141</v>
      </c>
    </row>
    <row r="178" spans="11:15" x14ac:dyDescent="0.2">
      <c r="K178" t="s">
        <v>41</v>
      </c>
      <c r="L178" t="s">
        <v>37</v>
      </c>
      <c r="M178" t="s">
        <v>20</v>
      </c>
      <c r="N178" s="2">
        <v>3388</v>
      </c>
      <c r="O178" s="3">
        <v>123</v>
      </c>
    </row>
    <row r="179" spans="11:15" x14ac:dyDescent="0.2">
      <c r="K179" t="s">
        <v>40</v>
      </c>
      <c r="L179" t="s">
        <v>38</v>
      </c>
      <c r="M179" t="s">
        <v>24</v>
      </c>
      <c r="N179" s="2">
        <v>623</v>
      </c>
      <c r="O179" s="3">
        <v>51</v>
      </c>
    </row>
    <row r="180" spans="11:15" x14ac:dyDescent="0.2">
      <c r="K180" t="s">
        <v>6</v>
      </c>
      <c r="L180" t="s">
        <v>36</v>
      </c>
      <c r="M180" t="s">
        <v>4</v>
      </c>
      <c r="N180" s="2">
        <v>10073</v>
      </c>
      <c r="O180" s="3">
        <v>120</v>
      </c>
    </row>
    <row r="181" spans="11:15" x14ac:dyDescent="0.2">
      <c r="K181" t="s">
        <v>8</v>
      </c>
      <c r="L181" t="s">
        <v>39</v>
      </c>
      <c r="M181" t="s">
        <v>26</v>
      </c>
      <c r="N181" s="2">
        <v>1561</v>
      </c>
      <c r="O181" s="3">
        <v>27</v>
      </c>
    </row>
    <row r="182" spans="11:15" x14ac:dyDescent="0.2">
      <c r="K182" t="s">
        <v>9</v>
      </c>
      <c r="L182" t="s">
        <v>36</v>
      </c>
      <c r="M182" t="s">
        <v>27</v>
      </c>
      <c r="N182" s="2">
        <v>11522</v>
      </c>
      <c r="O182" s="3">
        <v>204</v>
      </c>
    </row>
    <row r="183" spans="11:15" x14ac:dyDescent="0.2">
      <c r="K183" t="s">
        <v>6</v>
      </c>
      <c r="L183" t="s">
        <v>38</v>
      </c>
      <c r="M183" t="s">
        <v>13</v>
      </c>
      <c r="N183" s="2">
        <v>2317</v>
      </c>
      <c r="O183" s="3">
        <v>123</v>
      </c>
    </row>
    <row r="184" spans="11:15" x14ac:dyDescent="0.2">
      <c r="K184" t="s">
        <v>10</v>
      </c>
      <c r="L184" t="s">
        <v>37</v>
      </c>
      <c r="M184" t="s">
        <v>28</v>
      </c>
      <c r="N184" s="2">
        <v>3059</v>
      </c>
      <c r="O184" s="3">
        <v>27</v>
      </c>
    </row>
    <row r="185" spans="11:15" x14ac:dyDescent="0.2">
      <c r="K185" t="s">
        <v>41</v>
      </c>
      <c r="L185" t="s">
        <v>37</v>
      </c>
      <c r="M185" t="s">
        <v>26</v>
      </c>
      <c r="N185" s="2">
        <v>2324</v>
      </c>
      <c r="O185" s="3">
        <v>177</v>
      </c>
    </row>
    <row r="186" spans="11:15" x14ac:dyDescent="0.2">
      <c r="K186" t="s">
        <v>3</v>
      </c>
      <c r="L186" t="s">
        <v>39</v>
      </c>
      <c r="M186" t="s">
        <v>26</v>
      </c>
      <c r="N186" s="2">
        <v>4956</v>
      </c>
      <c r="O186" s="3">
        <v>171</v>
      </c>
    </row>
    <row r="187" spans="11:15" x14ac:dyDescent="0.2">
      <c r="K187" t="s">
        <v>10</v>
      </c>
      <c r="L187" t="s">
        <v>34</v>
      </c>
      <c r="M187" t="s">
        <v>19</v>
      </c>
      <c r="N187" s="2">
        <v>5355</v>
      </c>
      <c r="O187" s="3">
        <v>204</v>
      </c>
    </row>
    <row r="188" spans="11:15" x14ac:dyDescent="0.2">
      <c r="K188" t="s">
        <v>3</v>
      </c>
      <c r="L188" t="s">
        <v>34</v>
      </c>
      <c r="M188" t="s">
        <v>14</v>
      </c>
      <c r="N188" s="2">
        <v>7259</v>
      </c>
      <c r="O188" s="3">
        <v>276</v>
      </c>
    </row>
    <row r="189" spans="11:15" x14ac:dyDescent="0.2">
      <c r="K189" t="s">
        <v>8</v>
      </c>
      <c r="L189" t="s">
        <v>37</v>
      </c>
      <c r="M189" t="s">
        <v>26</v>
      </c>
      <c r="N189" s="2">
        <v>6279</v>
      </c>
      <c r="O189" s="3">
        <v>45</v>
      </c>
    </row>
    <row r="190" spans="11:15" x14ac:dyDescent="0.2">
      <c r="K190" t="s">
        <v>40</v>
      </c>
      <c r="L190" t="s">
        <v>38</v>
      </c>
      <c r="M190" t="s">
        <v>29</v>
      </c>
      <c r="N190" s="2">
        <v>2541</v>
      </c>
      <c r="O190" s="3">
        <v>45</v>
      </c>
    </row>
    <row r="191" spans="11:15" x14ac:dyDescent="0.2">
      <c r="K191" t="s">
        <v>6</v>
      </c>
      <c r="L191" t="s">
        <v>35</v>
      </c>
      <c r="M191" t="s">
        <v>27</v>
      </c>
      <c r="N191" s="2">
        <v>3864</v>
      </c>
      <c r="O191" s="3">
        <v>177</v>
      </c>
    </row>
    <row r="192" spans="11:15" x14ac:dyDescent="0.2">
      <c r="K192" t="s">
        <v>5</v>
      </c>
      <c r="L192" t="s">
        <v>36</v>
      </c>
      <c r="M192" t="s">
        <v>13</v>
      </c>
      <c r="N192" s="2">
        <v>6146</v>
      </c>
      <c r="O192" s="3">
        <v>63</v>
      </c>
    </row>
    <row r="193" spans="11:15" x14ac:dyDescent="0.2">
      <c r="K193" t="s">
        <v>9</v>
      </c>
      <c r="L193" t="s">
        <v>39</v>
      </c>
      <c r="M193" t="s">
        <v>18</v>
      </c>
      <c r="N193" s="2">
        <v>2639</v>
      </c>
      <c r="O193" s="3">
        <v>204</v>
      </c>
    </row>
    <row r="194" spans="11:15" x14ac:dyDescent="0.2">
      <c r="K194" t="s">
        <v>8</v>
      </c>
      <c r="L194" t="s">
        <v>37</v>
      </c>
      <c r="M194" t="s">
        <v>22</v>
      </c>
      <c r="N194" s="2">
        <v>1890</v>
      </c>
      <c r="O194" s="3">
        <v>195</v>
      </c>
    </row>
    <row r="195" spans="11:15" x14ac:dyDescent="0.2">
      <c r="K195" t="s">
        <v>7</v>
      </c>
      <c r="L195" t="s">
        <v>34</v>
      </c>
      <c r="M195" t="s">
        <v>14</v>
      </c>
      <c r="N195" s="2">
        <v>1932</v>
      </c>
      <c r="O195" s="3">
        <v>369</v>
      </c>
    </row>
    <row r="196" spans="11:15" x14ac:dyDescent="0.2">
      <c r="K196" t="s">
        <v>3</v>
      </c>
      <c r="L196" t="s">
        <v>34</v>
      </c>
      <c r="M196" t="s">
        <v>25</v>
      </c>
      <c r="N196" s="2">
        <v>6300</v>
      </c>
      <c r="O196" s="3">
        <v>42</v>
      </c>
    </row>
    <row r="197" spans="11:15" x14ac:dyDescent="0.2">
      <c r="K197" t="s">
        <v>6</v>
      </c>
      <c r="L197" t="s">
        <v>37</v>
      </c>
      <c r="M197" t="s">
        <v>30</v>
      </c>
      <c r="N197" s="2">
        <v>560</v>
      </c>
      <c r="O197" s="3">
        <v>81</v>
      </c>
    </row>
    <row r="198" spans="11:15" x14ac:dyDescent="0.2">
      <c r="K198" t="s">
        <v>9</v>
      </c>
      <c r="L198" t="s">
        <v>37</v>
      </c>
      <c r="M198" t="s">
        <v>26</v>
      </c>
      <c r="N198" s="2">
        <v>2856</v>
      </c>
      <c r="O198" s="3">
        <v>246</v>
      </c>
    </row>
    <row r="199" spans="11:15" x14ac:dyDescent="0.2">
      <c r="K199" t="s">
        <v>9</v>
      </c>
      <c r="L199" t="s">
        <v>34</v>
      </c>
      <c r="M199" t="s">
        <v>17</v>
      </c>
      <c r="N199" s="2">
        <v>707</v>
      </c>
      <c r="O199" s="3">
        <v>174</v>
      </c>
    </row>
    <row r="200" spans="11:15" x14ac:dyDescent="0.2">
      <c r="K200" t="s">
        <v>8</v>
      </c>
      <c r="L200" t="s">
        <v>35</v>
      </c>
      <c r="M200" t="s">
        <v>30</v>
      </c>
      <c r="N200" s="2">
        <v>3598</v>
      </c>
      <c r="O200" s="3">
        <v>81</v>
      </c>
    </row>
    <row r="201" spans="11:15" x14ac:dyDescent="0.2">
      <c r="K201" t="s">
        <v>40</v>
      </c>
      <c r="L201" t="s">
        <v>35</v>
      </c>
      <c r="M201" t="s">
        <v>22</v>
      </c>
      <c r="N201" s="2">
        <v>6853</v>
      </c>
      <c r="O201" s="3">
        <v>372</v>
      </c>
    </row>
    <row r="202" spans="11:15" x14ac:dyDescent="0.2">
      <c r="K202" t="s">
        <v>40</v>
      </c>
      <c r="L202" t="s">
        <v>35</v>
      </c>
      <c r="M202" t="s">
        <v>16</v>
      </c>
      <c r="N202" s="2">
        <v>4725</v>
      </c>
      <c r="O202" s="3">
        <v>174</v>
      </c>
    </row>
    <row r="203" spans="11:15" x14ac:dyDescent="0.2">
      <c r="K203" t="s">
        <v>41</v>
      </c>
      <c r="L203" t="s">
        <v>36</v>
      </c>
      <c r="M203" t="s">
        <v>32</v>
      </c>
      <c r="N203" s="2">
        <v>10304</v>
      </c>
      <c r="O203" s="3">
        <v>84</v>
      </c>
    </row>
    <row r="204" spans="11:15" x14ac:dyDescent="0.2">
      <c r="K204" t="s">
        <v>41</v>
      </c>
      <c r="L204" t="s">
        <v>34</v>
      </c>
      <c r="M204" t="s">
        <v>16</v>
      </c>
      <c r="N204" s="2">
        <v>1274</v>
      </c>
      <c r="O204" s="3">
        <v>225</v>
      </c>
    </row>
    <row r="205" spans="11:15" x14ac:dyDescent="0.2">
      <c r="K205" t="s">
        <v>5</v>
      </c>
      <c r="L205" t="s">
        <v>36</v>
      </c>
      <c r="M205" t="s">
        <v>30</v>
      </c>
      <c r="N205" s="2">
        <v>1526</v>
      </c>
      <c r="O205" s="3">
        <v>105</v>
      </c>
    </row>
    <row r="206" spans="11:15" x14ac:dyDescent="0.2">
      <c r="K206" t="s">
        <v>40</v>
      </c>
      <c r="L206" t="s">
        <v>39</v>
      </c>
      <c r="M206" t="s">
        <v>28</v>
      </c>
      <c r="N206" s="2">
        <v>3101</v>
      </c>
      <c r="O206" s="3">
        <v>225</v>
      </c>
    </row>
    <row r="207" spans="11:15" x14ac:dyDescent="0.2">
      <c r="K207" t="s">
        <v>2</v>
      </c>
      <c r="L207" t="s">
        <v>37</v>
      </c>
      <c r="M207" t="s">
        <v>14</v>
      </c>
      <c r="N207" s="2">
        <v>1057</v>
      </c>
      <c r="O207" s="3">
        <v>54</v>
      </c>
    </row>
    <row r="208" spans="11:15" x14ac:dyDescent="0.2">
      <c r="K208" t="s">
        <v>5</v>
      </c>
      <c r="L208" t="s">
        <v>39</v>
      </c>
      <c r="M208" t="s">
        <v>24</v>
      </c>
      <c r="N208" s="2">
        <v>4018</v>
      </c>
      <c r="O208" s="3">
        <v>171</v>
      </c>
    </row>
    <row r="209" spans="11:15" x14ac:dyDescent="0.2">
      <c r="K209" t="s">
        <v>9</v>
      </c>
      <c r="L209" t="s">
        <v>34</v>
      </c>
      <c r="M209" t="s">
        <v>16</v>
      </c>
      <c r="N209" s="2">
        <v>938</v>
      </c>
      <c r="O209" s="3">
        <v>189</v>
      </c>
    </row>
    <row r="210" spans="11:15" x14ac:dyDescent="0.2">
      <c r="K210" t="s">
        <v>7</v>
      </c>
      <c r="L210" t="s">
        <v>38</v>
      </c>
      <c r="M210" t="s">
        <v>18</v>
      </c>
      <c r="N210" s="2">
        <v>1778</v>
      </c>
      <c r="O210" s="3">
        <v>270</v>
      </c>
    </row>
    <row r="211" spans="11:15" x14ac:dyDescent="0.2">
      <c r="K211" t="s">
        <v>6</v>
      </c>
      <c r="L211" t="s">
        <v>39</v>
      </c>
      <c r="M211" t="s">
        <v>30</v>
      </c>
      <c r="N211" s="2">
        <v>1638</v>
      </c>
      <c r="O211" s="3">
        <v>63</v>
      </c>
    </row>
    <row r="212" spans="11:15" x14ac:dyDescent="0.2">
      <c r="K212" t="s">
        <v>41</v>
      </c>
      <c r="L212" t="s">
        <v>38</v>
      </c>
      <c r="M212" t="s">
        <v>25</v>
      </c>
      <c r="N212" s="2">
        <v>154</v>
      </c>
      <c r="O212" s="3">
        <v>21</v>
      </c>
    </row>
    <row r="213" spans="11:15" x14ac:dyDescent="0.2">
      <c r="K213" t="s">
        <v>7</v>
      </c>
      <c r="L213" t="s">
        <v>37</v>
      </c>
      <c r="M213" t="s">
        <v>22</v>
      </c>
      <c r="N213" s="2">
        <v>9835</v>
      </c>
      <c r="O213" s="3">
        <v>207</v>
      </c>
    </row>
    <row r="214" spans="11:15" x14ac:dyDescent="0.2">
      <c r="K214" t="s">
        <v>9</v>
      </c>
      <c r="L214" t="s">
        <v>37</v>
      </c>
      <c r="M214" t="s">
        <v>20</v>
      </c>
      <c r="N214" s="2">
        <v>7273</v>
      </c>
      <c r="O214" s="3">
        <v>96</v>
      </c>
    </row>
    <row r="215" spans="11:15" x14ac:dyDescent="0.2">
      <c r="K215" t="s">
        <v>5</v>
      </c>
      <c r="L215" t="s">
        <v>39</v>
      </c>
      <c r="M215" t="s">
        <v>22</v>
      </c>
      <c r="N215" s="2">
        <v>6909</v>
      </c>
      <c r="O215" s="3">
        <v>81</v>
      </c>
    </row>
    <row r="216" spans="11:15" x14ac:dyDescent="0.2">
      <c r="K216" t="s">
        <v>9</v>
      </c>
      <c r="L216" t="s">
        <v>39</v>
      </c>
      <c r="M216" t="s">
        <v>24</v>
      </c>
      <c r="N216" s="2">
        <v>3920</v>
      </c>
      <c r="O216" s="3">
        <v>306</v>
      </c>
    </row>
    <row r="217" spans="11:15" x14ac:dyDescent="0.2">
      <c r="K217" t="s">
        <v>10</v>
      </c>
      <c r="L217" t="s">
        <v>39</v>
      </c>
      <c r="M217" t="s">
        <v>21</v>
      </c>
      <c r="N217" s="2">
        <v>4858</v>
      </c>
      <c r="O217" s="3">
        <v>279</v>
      </c>
    </row>
    <row r="218" spans="11:15" x14ac:dyDescent="0.2">
      <c r="K218" t="s">
        <v>2</v>
      </c>
      <c r="L218" t="s">
        <v>38</v>
      </c>
      <c r="M218" t="s">
        <v>4</v>
      </c>
      <c r="N218" s="2">
        <v>3549</v>
      </c>
      <c r="O218" s="3">
        <v>3</v>
      </c>
    </row>
    <row r="219" spans="11:15" x14ac:dyDescent="0.2">
      <c r="K219" t="s">
        <v>7</v>
      </c>
      <c r="L219" t="s">
        <v>39</v>
      </c>
      <c r="M219" t="s">
        <v>27</v>
      </c>
      <c r="N219" s="2">
        <v>966</v>
      </c>
      <c r="O219" s="3">
        <v>198</v>
      </c>
    </row>
    <row r="220" spans="11:15" x14ac:dyDescent="0.2">
      <c r="K220" t="s">
        <v>5</v>
      </c>
      <c r="L220" t="s">
        <v>39</v>
      </c>
      <c r="M220" t="s">
        <v>18</v>
      </c>
      <c r="N220" s="2">
        <v>385</v>
      </c>
      <c r="O220" s="3">
        <v>249</v>
      </c>
    </row>
    <row r="221" spans="11:15" x14ac:dyDescent="0.2">
      <c r="K221" t="s">
        <v>6</v>
      </c>
      <c r="L221" t="s">
        <v>34</v>
      </c>
      <c r="M221" t="s">
        <v>16</v>
      </c>
      <c r="N221" s="2">
        <v>2219</v>
      </c>
      <c r="O221" s="3">
        <v>75</v>
      </c>
    </row>
    <row r="222" spans="11:15" x14ac:dyDescent="0.2">
      <c r="K222" t="s">
        <v>9</v>
      </c>
      <c r="L222" t="s">
        <v>36</v>
      </c>
      <c r="M222" t="s">
        <v>32</v>
      </c>
      <c r="N222" s="2">
        <v>2954</v>
      </c>
      <c r="O222" s="3">
        <v>189</v>
      </c>
    </row>
    <row r="223" spans="11:15" x14ac:dyDescent="0.2">
      <c r="K223" t="s">
        <v>7</v>
      </c>
      <c r="L223" t="s">
        <v>36</v>
      </c>
      <c r="M223" t="s">
        <v>32</v>
      </c>
      <c r="N223" s="2">
        <v>280</v>
      </c>
      <c r="O223" s="3">
        <v>87</v>
      </c>
    </row>
    <row r="224" spans="11:15" x14ac:dyDescent="0.2">
      <c r="K224" t="s">
        <v>41</v>
      </c>
      <c r="L224" t="s">
        <v>36</v>
      </c>
      <c r="M224" t="s">
        <v>30</v>
      </c>
      <c r="N224" s="2">
        <v>6118</v>
      </c>
      <c r="O224" s="3">
        <v>174</v>
      </c>
    </row>
    <row r="225" spans="11:15" x14ac:dyDescent="0.2">
      <c r="K225" t="s">
        <v>2</v>
      </c>
      <c r="L225" t="s">
        <v>39</v>
      </c>
      <c r="M225" t="s">
        <v>15</v>
      </c>
      <c r="N225" s="2">
        <v>4802</v>
      </c>
      <c r="O225" s="3">
        <v>36</v>
      </c>
    </row>
    <row r="226" spans="11:15" x14ac:dyDescent="0.2">
      <c r="K226" t="s">
        <v>9</v>
      </c>
      <c r="L226" t="s">
        <v>38</v>
      </c>
      <c r="M226" t="s">
        <v>24</v>
      </c>
      <c r="N226" s="2">
        <v>4137</v>
      </c>
      <c r="O226" s="3">
        <v>60</v>
      </c>
    </row>
    <row r="227" spans="11:15" x14ac:dyDescent="0.2">
      <c r="K227" t="s">
        <v>3</v>
      </c>
      <c r="L227" t="s">
        <v>35</v>
      </c>
      <c r="M227" t="s">
        <v>23</v>
      </c>
      <c r="N227" s="2">
        <v>2023</v>
      </c>
      <c r="O227" s="3">
        <v>78</v>
      </c>
    </row>
    <row r="228" spans="11:15" x14ac:dyDescent="0.2">
      <c r="K228" t="s">
        <v>9</v>
      </c>
      <c r="L228" t="s">
        <v>36</v>
      </c>
      <c r="M228" t="s">
        <v>30</v>
      </c>
      <c r="N228" s="2">
        <v>9051</v>
      </c>
      <c r="O228" s="3">
        <v>57</v>
      </c>
    </row>
    <row r="229" spans="11:15" x14ac:dyDescent="0.2">
      <c r="K229" t="s">
        <v>9</v>
      </c>
      <c r="L229" t="s">
        <v>37</v>
      </c>
      <c r="M229" t="s">
        <v>28</v>
      </c>
      <c r="N229" s="2">
        <v>2919</v>
      </c>
      <c r="O229" s="3">
        <v>45</v>
      </c>
    </row>
    <row r="230" spans="11:15" x14ac:dyDescent="0.2">
      <c r="K230" t="s">
        <v>41</v>
      </c>
      <c r="L230" t="s">
        <v>38</v>
      </c>
      <c r="M230" t="s">
        <v>22</v>
      </c>
      <c r="N230" s="2">
        <v>5915</v>
      </c>
      <c r="O230" s="3">
        <v>3</v>
      </c>
    </row>
    <row r="231" spans="11:15" x14ac:dyDescent="0.2">
      <c r="K231" t="s">
        <v>10</v>
      </c>
      <c r="L231" t="s">
        <v>35</v>
      </c>
      <c r="M231" t="s">
        <v>15</v>
      </c>
      <c r="N231" s="2">
        <v>2562</v>
      </c>
      <c r="O231" s="3">
        <v>6</v>
      </c>
    </row>
    <row r="232" spans="11:15" x14ac:dyDescent="0.2">
      <c r="K232" t="s">
        <v>5</v>
      </c>
      <c r="L232" t="s">
        <v>37</v>
      </c>
      <c r="M232" t="s">
        <v>25</v>
      </c>
      <c r="N232" s="2">
        <v>8813</v>
      </c>
      <c r="O232" s="3">
        <v>21</v>
      </c>
    </row>
    <row r="233" spans="11:15" x14ac:dyDescent="0.2">
      <c r="K233" t="s">
        <v>5</v>
      </c>
      <c r="L233" t="s">
        <v>36</v>
      </c>
      <c r="M233" t="s">
        <v>18</v>
      </c>
      <c r="N233" s="2">
        <v>6111</v>
      </c>
      <c r="O233" s="3">
        <v>3</v>
      </c>
    </row>
    <row r="234" spans="11:15" x14ac:dyDescent="0.2">
      <c r="K234" t="s">
        <v>8</v>
      </c>
      <c r="L234" t="s">
        <v>34</v>
      </c>
      <c r="M234" t="s">
        <v>31</v>
      </c>
      <c r="N234" s="2">
        <v>3507</v>
      </c>
      <c r="O234" s="3">
        <v>288</v>
      </c>
    </row>
    <row r="235" spans="11:15" x14ac:dyDescent="0.2">
      <c r="K235" t="s">
        <v>6</v>
      </c>
      <c r="L235" t="s">
        <v>36</v>
      </c>
      <c r="M235" t="s">
        <v>13</v>
      </c>
      <c r="N235" s="2">
        <v>4319</v>
      </c>
      <c r="O235" s="3">
        <v>30</v>
      </c>
    </row>
    <row r="236" spans="11:15" x14ac:dyDescent="0.2">
      <c r="K236" t="s">
        <v>40</v>
      </c>
      <c r="L236" t="s">
        <v>38</v>
      </c>
      <c r="M236" t="s">
        <v>26</v>
      </c>
      <c r="N236" s="2">
        <v>609</v>
      </c>
      <c r="O236" s="3">
        <v>87</v>
      </c>
    </row>
    <row r="237" spans="11:15" x14ac:dyDescent="0.2">
      <c r="K237" t="s">
        <v>40</v>
      </c>
      <c r="L237" t="s">
        <v>39</v>
      </c>
      <c r="M237" t="s">
        <v>27</v>
      </c>
      <c r="N237" s="2">
        <v>6370</v>
      </c>
      <c r="O237" s="3">
        <v>30</v>
      </c>
    </row>
    <row r="238" spans="11:15" x14ac:dyDescent="0.2">
      <c r="K238" t="s">
        <v>5</v>
      </c>
      <c r="L238" t="s">
        <v>38</v>
      </c>
      <c r="M238" t="s">
        <v>19</v>
      </c>
      <c r="N238" s="2">
        <v>5474</v>
      </c>
      <c r="O238" s="3">
        <v>168</v>
      </c>
    </row>
    <row r="239" spans="11:15" x14ac:dyDescent="0.2">
      <c r="K239" t="s">
        <v>40</v>
      </c>
      <c r="L239" t="s">
        <v>36</v>
      </c>
      <c r="M239" t="s">
        <v>27</v>
      </c>
      <c r="N239" s="2">
        <v>3164</v>
      </c>
      <c r="O239" s="3">
        <v>306</v>
      </c>
    </row>
    <row r="240" spans="11:15" x14ac:dyDescent="0.2">
      <c r="K240" t="s">
        <v>6</v>
      </c>
      <c r="L240" t="s">
        <v>35</v>
      </c>
      <c r="M240" t="s">
        <v>4</v>
      </c>
      <c r="N240" s="2">
        <v>1302</v>
      </c>
      <c r="O240" s="3">
        <v>402</v>
      </c>
    </row>
    <row r="241" spans="11:15" x14ac:dyDescent="0.2">
      <c r="K241" t="s">
        <v>3</v>
      </c>
      <c r="L241" t="s">
        <v>37</v>
      </c>
      <c r="M241" t="s">
        <v>28</v>
      </c>
      <c r="N241" s="2">
        <v>7308</v>
      </c>
      <c r="O241" s="3">
        <v>327</v>
      </c>
    </row>
    <row r="242" spans="11:15" x14ac:dyDescent="0.2">
      <c r="K242" t="s">
        <v>40</v>
      </c>
      <c r="L242" t="s">
        <v>37</v>
      </c>
      <c r="M242" t="s">
        <v>27</v>
      </c>
      <c r="N242" s="2">
        <v>6132</v>
      </c>
      <c r="O242" s="3">
        <v>93</v>
      </c>
    </row>
    <row r="243" spans="11:15" x14ac:dyDescent="0.2">
      <c r="K243" t="s">
        <v>10</v>
      </c>
      <c r="L243" t="s">
        <v>35</v>
      </c>
      <c r="M243" t="s">
        <v>14</v>
      </c>
      <c r="N243" s="2">
        <v>3472</v>
      </c>
      <c r="O243" s="3">
        <v>96</v>
      </c>
    </row>
    <row r="244" spans="11:15" x14ac:dyDescent="0.2">
      <c r="K244" t="s">
        <v>8</v>
      </c>
      <c r="L244" t="s">
        <v>39</v>
      </c>
      <c r="M244" t="s">
        <v>18</v>
      </c>
      <c r="N244" s="2">
        <v>9660</v>
      </c>
      <c r="O244" s="3">
        <v>27</v>
      </c>
    </row>
    <row r="245" spans="11:15" x14ac:dyDescent="0.2">
      <c r="K245" t="s">
        <v>9</v>
      </c>
      <c r="L245" t="s">
        <v>38</v>
      </c>
      <c r="M245" t="s">
        <v>26</v>
      </c>
      <c r="N245" s="2">
        <v>2436</v>
      </c>
      <c r="O245" s="3">
        <v>99</v>
      </c>
    </row>
    <row r="246" spans="11:15" x14ac:dyDescent="0.2">
      <c r="K246" t="s">
        <v>9</v>
      </c>
      <c r="L246" t="s">
        <v>38</v>
      </c>
      <c r="M246" t="s">
        <v>33</v>
      </c>
      <c r="N246" s="2">
        <v>9506</v>
      </c>
      <c r="O246" s="3">
        <v>87</v>
      </c>
    </row>
    <row r="247" spans="11:15" x14ac:dyDescent="0.2">
      <c r="K247" t="s">
        <v>10</v>
      </c>
      <c r="L247" t="s">
        <v>37</v>
      </c>
      <c r="M247" t="s">
        <v>21</v>
      </c>
      <c r="N247" s="2">
        <v>245</v>
      </c>
      <c r="O247" s="3">
        <v>288</v>
      </c>
    </row>
    <row r="248" spans="11:15" x14ac:dyDescent="0.2">
      <c r="K248" t="s">
        <v>8</v>
      </c>
      <c r="L248" t="s">
        <v>35</v>
      </c>
      <c r="M248" t="s">
        <v>20</v>
      </c>
      <c r="N248" s="2">
        <v>2702</v>
      </c>
      <c r="O248" s="3">
        <v>363</v>
      </c>
    </row>
    <row r="249" spans="11:15" x14ac:dyDescent="0.2">
      <c r="K249" t="s">
        <v>10</v>
      </c>
      <c r="L249" t="s">
        <v>34</v>
      </c>
      <c r="M249" t="s">
        <v>17</v>
      </c>
      <c r="N249" s="2">
        <v>700</v>
      </c>
      <c r="O249" s="3">
        <v>87</v>
      </c>
    </row>
    <row r="250" spans="11:15" x14ac:dyDescent="0.2">
      <c r="K250" t="s">
        <v>6</v>
      </c>
      <c r="L250" t="s">
        <v>34</v>
      </c>
      <c r="M250" t="s">
        <v>17</v>
      </c>
      <c r="N250" s="2">
        <v>3759</v>
      </c>
      <c r="O250" s="3">
        <v>150</v>
      </c>
    </row>
    <row r="251" spans="11:15" x14ac:dyDescent="0.2">
      <c r="K251" t="s">
        <v>2</v>
      </c>
      <c r="L251" t="s">
        <v>35</v>
      </c>
      <c r="M251" t="s">
        <v>17</v>
      </c>
      <c r="N251" s="2">
        <v>1589</v>
      </c>
      <c r="O251" s="3">
        <v>303</v>
      </c>
    </row>
    <row r="252" spans="11:15" x14ac:dyDescent="0.2">
      <c r="K252" t="s">
        <v>7</v>
      </c>
      <c r="L252" t="s">
        <v>35</v>
      </c>
      <c r="M252" t="s">
        <v>28</v>
      </c>
      <c r="N252" s="2">
        <v>5194</v>
      </c>
      <c r="O252" s="3">
        <v>288</v>
      </c>
    </row>
    <row r="253" spans="11:15" x14ac:dyDescent="0.2">
      <c r="K253" t="s">
        <v>10</v>
      </c>
      <c r="L253" t="s">
        <v>36</v>
      </c>
      <c r="M253" t="s">
        <v>13</v>
      </c>
      <c r="N253" s="2">
        <v>945</v>
      </c>
      <c r="O253" s="3">
        <v>75</v>
      </c>
    </row>
    <row r="254" spans="11:15" x14ac:dyDescent="0.2">
      <c r="K254" t="s">
        <v>40</v>
      </c>
      <c r="L254" t="s">
        <v>38</v>
      </c>
      <c r="M254" t="s">
        <v>31</v>
      </c>
      <c r="N254" s="2">
        <v>1988</v>
      </c>
      <c r="O254" s="3">
        <v>39</v>
      </c>
    </row>
    <row r="255" spans="11:15" x14ac:dyDescent="0.2">
      <c r="K255" t="s">
        <v>6</v>
      </c>
      <c r="L255" t="s">
        <v>34</v>
      </c>
      <c r="M255" t="s">
        <v>32</v>
      </c>
      <c r="N255" s="2">
        <v>6734</v>
      </c>
      <c r="O255" s="3">
        <v>123</v>
      </c>
    </row>
    <row r="256" spans="11:15" x14ac:dyDescent="0.2">
      <c r="K256" t="s">
        <v>40</v>
      </c>
      <c r="L256" t="s">
        <v>36</v>
      </c>
      <c r="M256" t="s">
        <v>4</v>
      </c>
      <c r="N256" s="2">
        <v>217</v>
      </c>
      <c r="O256" s="3">
        <v>36</v>
      </c>
    </row>
    <row r="257" spans="11:15" x14ac:dyDescent="0.2">
      <c r="K257" t="s">
        <v>5</v>
      </c>
      <c r="L257" t="s">
        <v>34</v>
      </c>
      <c r="M257" t="s">
        <v>22</v>
      </c>
      <c r="N257" s="2">
        <v>6279</v>
      </c>
      <c r="O257" s="3">
        <v>237</v>
      </c>
    </row>
    <row r="258" spans="11:15" x14ac:dyDescent="0.2">
      <c r="K258" t="s">
        <v>40</v>
      </c>
      <c r="L258" t="s">
        <v>36</v>
      </c>
      <c r="M258" t="s">
        <v>13</v>
      </c>
      <c r="N258" s="2">
        <v>4424</v>
      </c>
      <c r="O258" s="3">
        <v>201</v>
      </c>
    </row>
    <row r="259" spans="11:15" x14ac:dyDescent="0.2">
      <c r="K259" t="s">
        <v>2</v>
      </c>
      <c r="L259" t="s">
        <v>36</v>
      </c>
      <c r="M259" t="s">
        <v>17</v>
      </c>
      <c r="N259" s="2">
        <v>189</v>
      </c>
      <c r="O259" s="3">
        <v>48</v>
      </c>
    </row>
    <row r="260" spans="11:15" x14ac:dyDescent="0.2">
      <c r="K260" t="s">
        <v>5</v>
      </c>
      <c r="L260" t="s">
        <v>35</v>
      </c>
      <c r="M260" t="s">
        <v>22</v>
      </c>
      <c r="N260" s="2">
        <v>490</v>
      </c>
      <c r="O260" s="3">
        <v>84</v>
      </c>
    </row>
    <row r="261" spans="11:15" x14ac:dyDescent="0.2">
      <c r="K261" t="s">
        <v>8</v>
      </c>
      <c r="L261" t="s">
        <v>37</v>
      </c>
      <c r="M261" t="s">
        <v>21</v>
      </c>
      <c r="N261" s="2">
        <v>434</v>
      </c>
      <c r="O261" s="3">
        <v>87</v>
      </c>
    </row>
    <row r="262" spans="11:15" x14ac:dyDescent="0.2">
      <c r="K262" t="s">
        <v>7</v>
      </c>
      <c r="L262" t="s">
        <v>38</v>
      </c>
      <c r="M262" t="s">
        <v>30</v>
      </c>
      <c r="N262" s="2">
        <v>10129</v>
      </c>
      <c r="O262" s="3">
        <v>312</v>
      </c>
    </row>
    <row r="263" spans="11:15" x14ac:dyDescent="0.2">
      <c r="K263" t="s">
        <v>3</v>
      </c>
      <c r="L263" t="s">
        <v>39</v>
      </c>
      <c r="M263" t="s">
        <v>28</v>
      </c>
      <c r="N263" s="2">
        <v>1652</v>
      </c>
      <c r="O263" s="3">
        <v>102</v>
      </c>
    </row>
    <row r="264" spans="11:15" x14ac:dyDescent="0.2">
      <c r="K264" t="s">
        <v>8</v>
      </c>
      <c r="L264" t="s">
        <v>38</v>
      </c>
      <c r="M264" t="s">
        <v>21</v>
      </c>
      <c r="N264" s="2">
        <v>6433</v>
      </c>
      <c r="O264" s="3">
        <v>78</v>
      </c>
    </row>
    <row r="265" spans="11:15" x14ac:dyDescent="0.2">
      <c r="K265" t="s">
        <v>3</v>
      </c>
      <c r="L265" t="s">
        <v>34</v>
      </c>
      <c r="M265" t="s">
        <v>23</v>
      </c>
      <c r="N265" s="2">
        <v>2212</v>
      </c>
      <c r="O265" s="3">
        <v>117</v>
      </c>
    </row>
    <row r="266" spans="11:15" x14ac:dyDescent="0.2">
      <c r="K266" t="s">
        <v>41</v>
      </c>
      <c r="L266" t="s">
        <v>35</v>
      </c>
      <c r="M266" t="s">
        <v>19</v>
      </c>
      <c r="N266" s="2">
        <v>609</v>
      </c>
      <c r="O266" s="3">
        <v>99</v>
      </c>
    </row>
    <row r="267" spans="11:15" x14ac:dyDescent="0.2">
      <c r="K267" t="s">
        <v>40</v>
      </c>
      <c r="L267" t="s">
        <v>35</v>
      </c>
      <c r="M267" t="s">
        <v>24</v>
      </c>
      <c r="N267" s="2">
        <v>1638</v>
      </c>
      <c r="O267" s="3">
        <v>48</v>
      </c>
    </row>
    <row r="268" spans="11:15" x14ac:dyDescent="0.2">
      <c r="K268" t="s">
        <v>7</v>
      </c>
      <c r="L268" t="s">
        <v>34</v>
      </c>
      <c r="M268" t="s">
        <v>15</v>
      </c>
      <c r="N268" s="2">
        <v>3829</v>
      </c>
      <c r="O268" s="3">
        <v>24</v>
      </c>
    </row>
    <row r="269" spans="11:15" x14ac:dyDescent="0.2">
      <c r="K269" t="s">
        <v>40</v>
      </c>
      <c r="L269" t="s">
        <v>39</v>
      </c>
      <c r="M269" t="s">
        <v>15</v>
      </c>
      <c r="N269" s="2">
        <v>5775</v>
      </c>
      <c r="O269" s="3">
        <v>42</v>
      </c>
    </row>
    <row r="270" spans="11:15" x14ac:dyDescent="0.2">
      <c r="K270" t="s">
        <v>6</v>
      </c>
      <c r="L270" t="s">
        <v>35</v>
      </c>
      <c r="M270" t="s">
        <v>20</v>
      </c>
      <c r="N270" s="2">
        <v>1071</v>
      </c>
      <c r="O270" s="3">
        <v>270</v>
      </c>
    </row>
    <row r="271" spans="11:15" x14ac:dyDescent="0.2">
      <c r="K271" t="s">
        <v>8</v>
      </c>
      <c r="L271" t="s">
        <v>36</v>
      </c>
      <c r="M271" t="s">
        <v>23</v>
      </c>
      <c r="N271" s="2">
        <v>5019</v>
      </c>
      <c r="O271" s="3">
        <v>150</v>
      </c>
    </row>
    <row r="272" spans="11:15" x14ac:dyDescent="0.2">
      <c r="K272" t="s">
        <v>2</v>
      </c>
      <c r="L272" t="s">
        <v>37</v>
      </c>
      <c r="M272" t="s">
        <v>15</v>
      </c>
      <c r="N272" s="2">
        <v>2863</v>
      </c>
      <c r="O272" s="3">
        <v>42</v>
      </c>
    </row>
    <row r="273" spans="11:15" x14ac:dyDescent="0.2">
      <c r="K273" t="s">
        <v>40</v>
      </c>
      <c r="L273" t="s">
        <v>35</v>
      </c>
      <c r="M273" t="s">
        <v>29</v>
      </c>
      <c r="N273" s="2">
        <v>1617</v>
      </c>
      <c r="O273" s="3">
        <v>126</v>
      </c>
    </row>
    <row r="274" spans="11:15" x14ac:dyDescent="0.2">
      <c r="K274" t="s">
        <v>6</v>
      </c>
      <c r="L274" t="s">
        <v>37</v>
      </c>
      <c r="M274" t="s">
        <v>26</v>
      </c>
      <c r="N274" s="2">
        <v>6818</v>
      </c>
      <c r="O274" s="3">
        <v>6</v>
      </c>
    </row>
    <row r="275" spans="11:15" x14ac:dyDescent="0.2">
      <c r="K275" t="s">
        <v>3</v>
      </c>
      <c r="L275" t="s">
        <v>35</v>
      </c>
      <c r="M275" t="s">
        <v>15</v>
      </c>
      <c r="N275" s="2">
        <v>6657</v>
      </c>
      <c r="O275" s="3">
        <v>276</v>
      </c>
    </row>
    <row r="276" spans="11:15" x14ac:dyDescent="0.2">
      <c r="K276" t="s">
        <v>3</v>
      </c>
      <c r="L276" t="s">
        <v>34</v>
      </c>
      <c r="M276" t="s">
        <v>17</v>
      </c>
      <c r="N276" s="2">
        <v>2919</v>
      </c>
      <c r="O276" s="3">
        <v>93</v>
      </c>
    </row>
    <row r="277" spans="11:15" x14ac:dyDescent="0.2">
      <c r="K277" t="s">
        <v>2</v>
      </c>
      <c r="L277" t="s">
        <v>36</v>
      </c>
      <c r="M277" t="s">
        <v>31</v>
      </c>
      <c r="N277" s="2">
        <v>3094</v>
      </c>
      <c r="O277" s="3">
        <v>246</v>
      </c>
    </row>
    <row r="278" spans="11:15" x14ac:dyDescent="0.2">
      <c r="K278" t="s">
        <v>6</v>
      </c>
      <c r="L278" t="s">
        <v>39</v>
      </c>
      <c r="M278" t="s">
        <v>24</v>
      </c>
      <c r="N278" s="2">
        <v>2989</v>
      </c>
      <c r="O278" s="3">
        <v>3</v>
      </c>
    </row>
    <row r="279" spans="11:15" x14ac:dyDescent="0.2">
      <c r="K279" t="s">
        <v>8</v>
      </c>
      <c r="L279" t="s">
        <v>38</v>
      </c>
      <c r="M279" t="s">
        <v>27</v>
      </c>
      <c r="N279" s="2">
        <v>2268</v>
      </c>
      <c r="O279" s="3">
        <v>63</v>
      </c>
    </row>
    <row r="280" spans="11:15" x14ac:dyDescent="0.2">
      <c r="K280" t="s">
        <v>5</v>
      </c>
      <c r="L280" t="s">
        <v>35</v>
      </c>
      <c r="M280" t="s">
        <v>31</v>
      </c>
      <c r="N280" s="2">
        <v>4753</v>
      </c>
      <c r="O280" s="3">
        <v>246</v>
      </c>
    </row>
    <row r="281" spans="11:15" x14ac:dyDescent="0.2">
      <c r="K281" t="s">
        <v>2</v>
      </c>
      <c r="L281" t="s">
        <v>34</v>
      </c>
      <c r="M281" t="s">
        <v>19</v>
      </c>
      <c r="N281" s="2">
        <v>7511</v>
      </c>
      <c r="O281" s="3">
        <v>120</v>
      </c>
    </row>
    <row r="282" spans="11:15" x14ac:dyDescent="0.2">
      <c r="K282" t="s">
        <v>2</v>
      </c>
      <c r="L282" t="s">
        <v>38</v>
      </c>
      <c r="M282" t="s">
        <v>31</v>
      </c>
      <c r="N282" s="2">
        <v>4326</v>
      </c>
      <c r="O282" s="3">
        <v>348</v>
      </c>
    </row>
    <row r="283" spans="11:15" x14ac:dyDescent="0.2">
      <c r="K283" t="s">
        <v>41</v>
      </c>
      <c r="L283" t="s">
        <v>34</v>
      </c>
      <c r="M283" t="s">
        <v>23</v>
      </c>
      <c r="N283" s="2">
        <v>4935</v>
      </c>
      <c r="O283" s="3">
        <v>126</v>
      </c>
    </row>
    <row r="284" spans="11:15" x14ac:dyDescent="0.2">
      <c r="K284" t="s">
        <v>6</v>
      </c>
      <c r="L284" t="s">
        <v>35</v>
      </c>
      <c r="M284" t="s">
        <v>30</v>
      </c>
      <c r="N284" s="2">
        <v>4781</v>
      </c>
      <c r="O284" s="3">
        <v>123</v>
      </c>
    </row>
    <row r="285" spans="11:15" x14ac:dyDescent="0.2">
      <c r="K285" t="s">
        <v>5</v>
      </c>
      <c r="L285" t="s">
        <v>38</v>
      </c>
      <c r="M285" t="s">
        <v>25</v>
      </c>
      <c r="N285" s="2">
        <v>7483</v>
      </c>
      <c r="O285" s="3">
        <v>45</v>
      </c>
    </row>
    <row r="286" spans="11:15" x14ac:dyDescent="0.2">
      <c r="K286" t="s">
        <v>10</v>
      </c>
      <c r="L286" t="s">
        <v>38</v>
      </c>
      <c r="M286" t="s">
        <v>4</v>
      </c>
      <c r="N286" s="2">
        <v>6860</v>
      </c>
      <c r="O286" s="3">
        <v>126</v>
      </c>
    </row>
    <row r="287" spans="11:15" x14ac:dyDescent="0.2">
      <c r="K287" t="s">
        <v>40</v>
      </c>
      <c r="L287" t="s">
        <v>37</v>
      </c>
      <c r="M287" t="s">
        <v>29</v>
      </c>
      <c r="N287" s="2">
        <v>9002</v>
      </c>
      <c r="O287" s="3">
        <v>72</v>
      </c>
    </row>
    <row r="288" spans="11:15" x14ac:dyDescent="0.2">
      <c r="K288" t="s">
        <v>6</v>
      </c>
      <c r="L288" t="s">
        <v>36</v>
      </c>
      <c r="M288" t="s">
        <v>29</v>
      </c>
      <c r="N288" s="2">
        <v>1400</v>
      </c>
      <c r="O288" s="3">
        <v>135</v>
      </c>
    </row>
    <row r="289" spans="11:15" x14ac:dyDescent="0.2">
      <c r="K289" t="s">
        <v>10</v>
      </c>
      <c r="L289" t="s">
        <v>34</v>
      </c>
      <c r="M289" t="s">
        <v>22</v>
      </c>
      <c r="N289" s="2">
        <v>4053</v>
      </c>
      <c r="O289" s="3">
        <v>24</v>
      </c>
    </row>
    <row r="290" spans="11:15" x14ac:dyDescent="0.2">
      <c r="K290" t="s">
        <v>7</v>
      </c>
      <c r="L290" t="s">
        <v>36</v>
      </c>
      <c r="M290" t="s">
        <v>31</v>
      </c>
      <c r="N290" s="2">
        <v>2149</v>
      </c>
      <c r="O290" s="3">
        <v>117</v>
      </c>
    </row>
    <row r="291" spans="11:15" x14ac:dyDescent="0.2">
      <c r="K291" t="s">
        <v>3</v>
      </c>
      <c r="L291" t="s">
        <v>39</v>
      </c>
      <c r="M291" t="s">
        <v>29</v>
      </c>
      <c r="N291" s="2">
        <v>3640</v>
      </c>
      <c r="O291" s="3">
        <v>51</v>
      </c>
    </row>
    <row r="292" spans="11:15" x14ac:dyDescent="0.2">
      <c r="K292" t="s">
        <v>2</v>
      </c>
      <c r="L292" t="s">
        <v>39</v>
      </c>
      <c r="M292" t="s">
        <v>23</v>
      </c>
      <c r="N292" s="2">
        <v>630</v>
      </c>
      <c r="O292" s="3">
        <v>36</v>
      </c>
    </row>
    <row r="293" spans="11:15" x14ac:dyDescent="0.2">
      <c r="K293" t="s">
        <v>9</v>
      </c>
      <c r="L293" t="s">
        <v>35</v>
      </c>
      <c r="M293" t="s">
        <v>27</v>
      </c>
      <c r="N293" s="2">
        <v>2429</v>
      </c>
      <c r="O293" s="3">
        <v>144</v>
      </c>
    </row>
    <row r="294" spans="11:15" x14ac:dyDescent="0.2">
      <c r="K294" t="s">
        <v>9</v>
      </c>
      <c r="L294" t="s">
        <v>36</v>
      </c>
      <c r="M294" t="s">
        <v>25</v>
      </c>
      <c r="N294" s="2">
        <v>2142</v>
      </c>
      <c r="O294" s="3">
        <v>114</v>
      </c>
    </row>
    <row r="295" spans="11:15" x14ac:dyDescent="0.2">
      <c r="K295" t="s">
        <v>7</v>
      </c>
      <c r="L295" t="s">
        <v>37</v>
      </c>
      <c r="M295" t="s">
        <v>30</v>
      </c>
      <c r="N295" s="2">
        <v>6454</v>
      </c>
      <c r="O295" s="3">
        <v>54</v>
      </c>
    </row>
    <row r="296" spans="11:15" x14ac:dyDescent="0.2">
      <c r="K296" t="s">
        <v>7</v>
      </c>
      <c r="L296" t="s">
        <v>37</v>
      </c>
      <c r="M296" t="s">
        <v>16</v>
      </c>
      <c r="N296" s="2">
        <v>4487</v>
      </c>
      <c r="O296" s="3">
        <v>333</v>
      </c>
    </row>
    <row r="297" spans="11:15" x14ac:dyDescent="0.2">
      <c r="K297" t="s">
        <v>3</v>
      </c>
      <c r="L297" t="s">
        <v>37</v>
      </c>
      <c r="M297" t="s">
        <v>4</v>
      </c>
      <c r="N297" s="2">
        <v>938</v>
      </c>
      <c r="O297" s="3">
        <v>366</v>
      </c>
    </row>
    <row r="298" spans="11:15" x14ac:dyDescent="0.2">
      <c r="K298" t="s">
        <v>3</v>
      </c>
      <c r="L298" t="s">
        <v>38</v>
      </c>
      <c r="M298" t="s">
        <v>26</v>
      </c>
      <c r="N298" s="2">
        <v>8841</v>
      </c>
      <c r="O298" s="3">
        <v>303</v>
      </c>
    </row>
    <row r="299" spans="11:15" x14ac:dyDescent="0.2">
      <c r="K299" t="s">
        <v>2</v>
      </c>
      <c r="L299" t="s">
        <v>39</v>
      </c>
      <c r="M299" t="s">
        <v>33</v>
      </c>
      <c r="N299" s="2">
        <v>4018</v>
      </c>
      <c r="O299" s="3">
        <v>126</v>
      </c>
    </row>
    <row r="300" spans="11:15" x14ac:dyDescent="0.2">
      <c r="K300" t="s">
        <v>41</v>
      </c>
      <c r="L300" t="s">
        <v>37</v>
      </c>
      <c r="M300" t="s">
        <v>15</v>
      </c>
      <c r="N300" s="2">
        <v>714</v>
      </c>
      <c r="O300" s="3">
        <v>231</v>
      </c>
    </row>
    <row r="301" spans="11:15" x14ac:dyDescent="0.2">
      <c r="K301" t="s">
        <v>9</v>
      </c>
      <c r="L301" t="s">
        <v>38</v>
      </c>
      <c r="M301" t="s">
        <v>25</v>
      </c>
      <c r="N301" s="2">
        <v>3850</v>
      </c>
      <c r="O301" s="3">
        <v>102</v>
      </c>
    </row>
  </sheetData>
  <mergeCells count="4">
    <mergeCell ref="B3:H3"/>
    <mergeCell ref="B23:H23"/>
    <mergeCell ref="B24:H24"/>
    <mergeCell ref="A1:P1"/>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CF3E-7915-EE41-8620-94DFEAB28B50}">
  <dimension ref="A1:F15"/>
  <sheetViews>
    <sheetView workbookViewId="0">
      <selection activeCell="F8" sqref="F8"/>
    </sheetView>
  </sheetViews>
  <sheetFormatPr baseColWidth="10" defaultRowHeight="15" x14ac:dyDescent="0.2"/>
  <cols>
    <col min="1" max="1" width="19" bestFit="1" customWidth="1"/>
    <col min="2" max="2" width="19.33203125" bestFit="1" customWidth="1"/>
    <col min="5" max="5" width="19" bestFit="1" customWidth="1"/>
    <col min="6" max="6" width="19.33203125" bestFit="1" customWidth="1"/>
  </cols>
  <sheetData>
    <row r="1" spans="1:6" ht="33" customHeight="1" x14ac:dyDescent="0.2">
      <c r="A1" s="32" t="s">
        <v>79</v>
      </c>
      <c r="B1" s="32"/>
      <c r="E1" s="32" t="s">
        <v>80</v>
      </c>
      <c r="F1" s="32"/>
    </row>
    <row r="2" spans="1:6" ht="21" x14ac:dyDescent="0.25">
      <c r="A2" s="22" t="s">
        <v>68</v>
      </c>
      <c r="B2" s="12" t="s">
        <v>69</v>
      </c>
      <c r="E2" s="22" t="s">
        <v>68</v>
      </c>
      <c r="F2" s="12" t="s">
        <v>69</v>
      </c>
    </row>
    <row r="3" spans="1:6" ht="21" x14ac:dyDescent="0.25">
      <c r="A3" s="23" t="s">
        <v>38</v>
      </c>
      <c r="B3" s="25">
        <v>25221</v>
      </c>
      <c r="E3" s="23" t="s">
        <v>38</v>
      </c>
      <c r="F3" s="25">
        <v>6069</v>
      </c>
    </row>
    <row r="4" spans="1:6" ht="21" x14ac:dyDescent="0.25">
      <c r="A4" s="36" t="s">
        <v>5</v>
      </c>
      <c r="B4" s="25">
        <v>25221</v>
      </c>
      <c r="E4" s="36" t="s">
        <v>41</v>
      </c>
      <c r="F4" s="25">
        <v>6069</v>
      </c>
    </row>
    <row r="5" spans="1:6" ht="21" x14ac:dyDescent="0.25">
      <c r="A5" s="23" t="s">
        <v>36</v>
      </c>
      <c r="B5" s="25">
        <v>39620</v>
      </c>
      <c r="E5" s="23" t="s">
        <v>36</v>
      </c>
      <c r="F5" s="25">
        <v>5019</v>
      </c>
    </row>
    <row r="6" spans="1:6" ht="21" x14ac:dyDescent="0.25">
      <c r="A6" s="36" t="s">
        <v>5</v>
      </c>
      <c r="B6" s="25">
        <v>39620</v>
      </c>
      <c r="E6" s="36" t="s">
        <v>8</v>
      </c>
      <c r="F6" s="25">
        <v>5019</v>
      </c>
    </row>
    <row r="7" spans="1:6" ht="21" x14ac:dyDescent="0.25">
      <c r="A7" s="23" t="s">
        <v>34</v>
      </c>
      <c r="B7" s="25">
        <v>41559</v>
      </c>
      <c r="E7" s="23" t="s">
        <v>34</v>
      </c>
      <c r="F7" s="25">
        <v>5516</v>
      </c>
    </row>
    <row r="8" spans="1:6" ht="21" x14ac:dyDescent="0.25">
      <c r="A8" s="36" t="s">
        <v>5</v>
      </c>
      <c r="B8" s="25">
        <v>41559</v>
      </c>
      <c r="E8" s="36" t="s">
        <v>8</v>
      </c>
      <c r="F8" s="25">
        <v>5516</v>
      </c>
    </row>
    <row r="9" spans="1:6" ht="21" x14ac:dyDescent="0.25">
      <c r="A9" s="23" t="s">
        <v>37</v>
      </c>
      <c r="B9" s="25">
        <v>38262</v>
      </c>
      <c r="E9" s="23" t="s">
        <v>37</v>
      </c>
      <c r="F9" s="25">
        <v>7987</v>
      </c>
    </row>
    <row r="10" spans="1:6" ht="21" x14ac:dyDescent="0.25">
      <c r="A10" s="36" t="s">
        <v>7</v>
      </c>
      <c r="B10" s="25">
        <v>38262</v>
      </c>
      <c r="E10" s="36" t="s">
        <v>10</v>
      </c>
      <c r="F10" s="25">
        <v>7987</v>
      </c>
    </row>
    <row r="11" spans="1:6" ht="21" x14ac:dyDescent="0.25">
      <c r="A11" s="23" t="s">
        <v>39</v>
      </c>
      <c r="B11" s="25">
        <v>45752</v>
      </c>
      <c r="E11" s="23" t="s">
        <v>39</v>
      </c>
      <c r="F11" s="25">
        <v>3976</v>
      </c>
    </row>
    <row r="12" spans="1:6" ht="21" x14ac:dyDescent="0.25">
      <c r="A12" s="36" t="s">
        <v>2</v>
      </c>
      <c r="B12" s="25">
        <v>45752</v>
      </c>
      <c r="E12" s="36" t="s">
        <v>41</v>
      </c>
      <c r="F12" s="25">
        <v>3976</v>
      </c>
    </row>
    <row r="13" spans="1:6" ht="21" x14ac:dyDescent="0.25">
      <c r="A13" s="23" t="s">
        <v>35</v>
      </c>
      <c r="B13" s="25">
        <v>38325</v>
      </c>
      <c r="E13" s="23" t="s">
        <v>35</v>
      </c>
      <c r="F13" s="25">
        <v>2142</v>
      </c>
    </row>
    <row r="14" spans="1:6" ht="21" x14ac:dyDescent="0.25">
      <c r="A14" s="36" t="s">
        <v>40</v>
      </c>
      <c r="B14" s="25">
        <v>38325</v>
      </c>
      <c r="E14" s="36" t="s">
        <v>2</v>
      </c>
      <c r="F14" s="25">
        <v>2142</v>
      </c>
    </row>
    <row r="15" spans="1:6" ht="21" x14ac:dyDescent="0.25">
      <c r="A15" s="23" t="s">
        <v>78</v>
      </c>
      <c r="B15" s="25">
        <v>228739</v>
      </c>
      <c r="E15" s="23" t="s">
        <v>78</v>
      </c>
      <c r="F15" s="25">
        <v>30709</v>
      </c>
    </row>
  </sheetData>
  <mergeCells count="2">
    <mergeCell ref="A1:B1"/>
    <mergeCell ref="E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F54E8-6FFA-A847-9B67-A4ED3E284D6C}">
  <dimension ref="A1:T300"/>
  <sheetViews>
    <sheetView workbookViewId="0">
      <selection activeCell="L5" sqref="L5"/>
    </sheetView>
  </sheetViews>
  <sheetFormatPr baseColWidth="10" defaultRowHeight="21" x14ac:dyDescent="0.25"/>
  <cols>
    <col min="1" max="1" width="26.6640625" bestFit="1" customWidth="1"/>
    <col min="2" max="2" width="16.5" bestFit="1" customWidth="1"/>
    <col min="9" max="9" width="19.6640625" style="12" bestFit="1" customWidth="1"/>
    <col min="10" max="10" width="15.1640625" style="12" bestFit="1" customWidth="1"/>
    <col min="11" max="11" width="26.6640625" style="12" bestFit="1" customWidth="1"/>
    <col min="12" max="12" width="10.6640625" style="12" bestFit="1" customWidth="1"/>
    <col min="13" max="13" width="7" style="12" bestFit="1" customWidth="1"/>
    <col min="14" max="14" width="15.83203125" style="12" bestFit="1" customWidth="1"/>
    <col min="15" max="15" width="12.5" style="12" bestFit="1" customWidth="1"/>
    <col min="16" max="16" width="10.6640625" style="12" bestFit="1" customWidth="1"/>
    <col min="19" max="19" width="26.6640625" style="12" bestFit="1" customWidth="1"/>
    <col min="20" max="20" width="18.33203125" style="12" bestFit="1" customWidth="1"/>
  </cols>
  <sheetData>
    <row r="1" spans="1:20" x14ac:dyDescent="0.25">
      <c r="A1" s="38" t="s">
        <v>84</v>
      </c>
      <c r="B1" s="39"/>
      <c r="I1" s="40" t="s">
        <v>11</v>
      </c>
      <c r="J1" s="40" t="s">
        <v>12</v>
      </c>
      <c r="K1" s="40" t="s">
        <v>0</v>
      </c>
      <c r="L1" s="41" t="s">
        <v>1</v>
      </c>
      <c r="M1" s="41" t="s">
        <v>49</v>
      </c>
      <c r="N1" s="42" t="s">
        <v>50</v>
      </c>
      <c r="O1" s="42" t="s">
        <v>82</v>
      </c>
      <c r="P1" s="42" t="s">
        <v>81</v>
      </c>
      <c r="Q1" s="4"/>
      <c r="R1" s="4"/>
      <c r="S1" s="12" t="s">
        <v>0</v>
      </c>
      <c r="T1" s="12" t="s">
        <v>50</v>
      </c>
    </row>
    <row r="2" spans="1:20" x14ac:dyDescent="0.25">
      <c r="A2" s="22" t="s">
        <v>68</v>
      </c>
      <c r="B2" s="12" t="s">
        <v>83</v>
      </c>
      <c r="I2" s="12" t="s">
        <v>40</v>
      </c>
      <c r="J2" s="12" t="s">
        <v>37</v>
      </c>
      <c r="K2" s="12" t="s">
        <v>30</v>
      </c>
      <c r="L2" s="43">
        <v>1624</v>
      </c>
      <c r="M2" s="44">
        <v>114</v>
      </c>
      <c r="N2" s="43">
        <f>_xlfn.XLOOKUP(Data5[[#This Row],[Product]],products7[Product],products7[Cost per unit])</f>
        <v>14.49</v>
      </c>
      <c r="O2" s="43">
        <f>Data5[[#This Row],[Units]]*Data5[[#This Row],[Cost per unit]]</f>
        <v>1651.8600000000001</v>
      </c>
      <c r="P2" s="43">
        <f>Data5[[#This Row],[Amount]]-Data5[[#This Row],[Total Cost]]</f>
        <v>-27.860000000000127</v>
      </c>
      <c r="S2" s="12" t="s">
        <v>13</v>
      </c>
      <c r="T2" s="45">
        <v>9.33</v>
      </c>
    </row>
    <row r="3" spans="1:20" x14ac:dyDescent="0.25">
      <c r="A3" s="23" t="s">
        <v>17</v>
      </c>
      <c r="B3" s="37">
        <v>56471.589999999989</v>
      </c>
      <c r="I3" s="12" t="s">
        <v>8</v>
      </c>
      <c r="J3" s="12" t="s">
        <v>35</v>
      </c>
      <c r="K3" s="12" t="s">
        <v>32</v>
      </c>
      <c r="L3" s="43">
        <v>6706</v>
      </c>
      <c r="M3" s="44">
        <v>459</v>
      </c>
      <c r="N3" s="43">
        <f>_xlfn.XLOOKUP(Data5[[#This Row],[Product]],products7[Product],products7[Cost per unit])</f>
        <v>8.65</v>
      </c>
      <c r="O3" s="43">
        <f>Data5[[#This Row],[Units]]*Data5[[#This Row],[Cost per unit]]</f>
        <v>3970.3500000000004</v>
      </c>
      <c r="P3" s="43">
        <f>Data5[[#This Row],[Amount]]-Data5[[#This Row],[Total Cost]]</f>
        <v>2735.6499999999996</v>
      </c>
      <c r="S3" s="12" t="s">
        <v>14</v>
      </c>
      <c r="T3" s="45">
        <v>11.7</v>
      </c>
    </row>
    <row r="4" spans="1:20" x14ac:dyDescent="0.25">
      <c r="A4" s="23" t="s">
        <v>26</v>
      </c>
      <c r="B4" s="37">
        <v>52971.799999999996</v>
      </c>
      <c r="I4" s="12" t="s">
        <v>9</v>
      </c>
      <c r="J4" s="12" t="s">
        <v>35</v>
      </c>
      <c r="K4" s="12" t="s">
        <v>4</v>
      </c>
      <c r="L4" s="43">
        <v>959</v>
      </c>
      <c r="M4" s="44">
        <v>147</v>
      </c>
      <c r="N4" s="43">
        <f>_xlfn.XLOOKUP(Data5[[#This Row],[Product]],products7[Product],products7[Cost per unit])</f>
        <v>11.88</v>
      </c>
      <c r="O4" s="43">
        <f>Data5[[#This Row],[Units]]*Data5[[#This Row],[Cost per unit]]</f>
        <v>1746.3600000000001</v>
      </c>
      <c r="P4" s="43">
        <f>Data5[[#This Row],[Amount]]-Data5[[#This Row],[Total Cost]]</f>
        <v>-787.36000000000013</v>
      </c>
      <c r="S4" s="12" t="s">
        <v>4</v>
      </c>
      <c r="T4" s="45">
        <v>11.88</v>
      </c>
    </row>
    <row r="5" spans="1:20" x14ac:dyDescent="0.25">
      <c r="A5" s="23" t="s">
        <v>32</v>
      </c>
      <c r="B5" s="37">
        <v>52063.350000000006</v>
      </c>
      <c r="I5" s="12" t="s">
        <v>41</v>
      </c>
      <c r="J5" s="12" t="s">
        <v>36</v>
      </c>
      <c r="K5" s="12" t="s">
        <v>18</v>
      </c>
      <c r="L5" s="43">
        <v>9632</v>
      </c>
      <c r="M5" s="44">
        <v>288</v>
      </c>
      <c r="N5" s="43">
        <f>_xlfn.XLOOKUP(Data5[[#This Row],[Product]],products7[Product],products7[Cost per unit])</f>
        <v>6.47</v>
      </c>
      <c r="O5" s="43">
        <f>Data5[[#This Row],[Units]]*Data5[[#This Row],[Cost per unit]]</f>
        <v>1863.36</v>
      </c>
      <c r="P5" s="43">
        <f>Data5[[#This Row],[Amount]]-Data5[[#This Row],[Total Cost]]</f>
        <v>7768.64</v>
      </c>
      <c r="S5" s="12" t="s">
        <v>15</v>
      </c>
      <c r="T5" s="45">
        <v>11.73</v>
      </c>
    </row>
    <row r="6" spans="1:20" x14ac:dyDescent="0.25">
      <c r="A6" s="23" t="s">
        <v>15</v>
      </c>
      <c r="B6" s="37">
        <v>50988.91</v>
      </c>
      <c r="I6" s="12" t="s">
        <v>6</v>
      </c>
      <c r="J6" s="12" t="s">
        <v>39</v>
      </c>
      <c r="K6" s="12" t="s">
        <v>25</v>
      </c>
      <c r="L6" s="43">
        <v>2100</v>
      </c>
      <c r="M6" s="44">
        <v>414</v>
      </c>
      <c r="N6" s="43">
        <f>_xlfn.XLOOKUP(Data5[[#This Row],[Product]],products7[Product],products7[Cost per unit])</f>
        <v>13.15</v>
      </c>
      <c r="O6" s="43">
        <f>Data5[[#This Row],[Units]]*Data5[[#This Row],[Cost per unit]]</f>
        <v>5444.1</v>
      </c>
      <c r="P6" s="43">
        <f>Data5[[#This Row],[Amount]]-Data5[[#This Row],[Total Cost]]</f>
        <v>-3344.1000000000004</v>
      </c>
      <c r="S6" s="12" t="s">
        <v>16</v>
      </c>
      <c r="T6" s="45">
        <v>8.7899999999999991</v>
      </c>
    </row>
    <row r="7" spans="1:20" x14ac:dyDescent="0.25">
      <c r="A7" s="23" t="s">
        <v>22</v>
      </c>
      <c r="B7" s="37">
        <v>46234.96</v>
      </c>
      <c r="I7" s="12" t="s">
        <v>40</v>
      </c>
      <c r="J7" s="12" t="s">
        <v>35</v>
      </c>
      <c r="K7" s="12" t="s">
        <v>33</v>
      </c>
      <c r="L7" s="43">
        <v>8869</v>
      </c>
      <c r="M7" s="44">
        <v>432</v>
      </c>
      <c r="N7" s="43">
        <f>_xlfn.XLOOKUP(Data5[[#This Row],[Product]],products7[Product],products7[Cost per unit])</f>
        <v>12.37</v>
      </c>
      <c r="O7" s="43">
        <f>Data5[[#This Row],[Units]]*Data5[[#This Row],[Cost per unit]]</f>
        <v>5343.8399999999992</v>
      </c>
      <c r="P7" s="43">
        <f>Data5[[#This Row],[Amount]]-Data5[[#This Row],[Total Cost]]</f>
        <v>3525.1600000000008</v>
      </c>
      <c r="S7" s="12" t="s">
        <v>17</v>
      </c>
      <c r="T7" s="45">
        <v>3.11</v>
      </c>
    </row>
    <row r="8" spans="1:20" x14ac:dyDescent="0.25">
      <c r="A8" s="23" t="s">
        <v>33</v>
      </c>
      <c r="B8" s="37">
        <v>46226.02</v>
      </c>
      <c r="I8" s="12" t="s">
        <v>6</v>
      </c>
      <c r="J8" s="12" t="s">
        <v>38</v>
      </c>
      <c r="K8" s="12" t="s">
        <v>31</v>
      </c>
      <c r="L8" s="43">
        <v>2681</v>
      </c>
      <c r="M8" s="44">
        <v>54</v>
      </c>
      <c r="N8" s="43">
        <f>_xlfn.XLOOKUP(Data5[[#This Row],[Product]],products7[Product],products7[Cost per unit])</f>
        <v>5.79</v>
      </c>
      <c r="O8" s="43">
        <f>Data5[[#This Row],[Units]]*Data5[[#This Row],[Cost per unit]]</f>
        <v>312.66000000000003</v>
      </c>
      <c r="P8" s="43">
        <f>Data5[[#This Row],[Amount]]-Data5[[#This Row],[Total Cost]]</f>
        <v>2368.34</v>
      </c>
      <c r="S8" s="12" t="s">
        <v>18</v>
      </c>
      <c r="T8" s="45">
        <v>6.47</v>
      </c>
    </row>
    <row r="9" spans="1:20" x14ac:dyDescent="0.25">
      <c r="A9" s="23" t="s">
        <v>23</v>
      </c>
      <c r="B9" s="37">
        <v>44884.119999999995</v>
      </c>
      <c r="I9" s="12" t="s">
        <v>8</v>
      </c>
      <c r="J9" s="12" t="s">
        <v>35</v>
      </c>
      <c r="K9" s="12" t="s">
        <v>22</v>
      </c>
      <c r="L9" s="43">
        <v>5012</v>
      </c>
      <c r="M9" s="44">
        <v>210</v>
      </c>
      <c r="N9" s="43">
        <f>_xlfn.XLOOKUP(Data5[[#This Row],[Product]],products7[Product],products7[Cost per unit])</f>
        <v>9.77</v>
      </c>
      <c r="O9" s="43">
        <f>Data5[[#This Row],[Units]]*Data5[[#This Row],[Cost per unit]]</f>
        <v>2051.6999999999998</v>
      </c>
      <c r="P9" s="43">
        <f>Data5[[#This Row],[Amount]]-Data5[[#This Row],[Total Cost]]</f>
        <v>2960.3</v>
      </c>
      <c r="S9" s="12" t="s">
        <v>19</v>
      </c>
      <c r="T9" s="45">
        <v>7.64</v>
      </c>
    </row>
    <row r="10" spans="1:20" x14ac:dyDescent="0.25">
      <c r="A10" s="23" t="s">
        <v>16</v>
      </c>
      <c r="B10" s="37">
        <v>43177.34</v>
      </c>
      <c r="I10" s="12" t="s">
        <v>7</v>
      </c>
      <c r="J10" s="12" t="s">
        <v>38</v>
      </c>
      <c r="K10" s="12" t="s">
        <v>14</v>
      </c>
      <c r="L10" s="43">
        <v>1281</v>
      </c>
      <c r="M10" s="44">
        <v>75</v>
      </c>
      <c r="N10" s="43">
        <f>_xlfn.XLOOKUP(Data5[[#This Row],[Product]],products7[Product],products7[Cost per unit])</f>
        <v>11.7</v>
      </c>
      <c r="O10" s="43">
        <f>Data5[[#This Row],[Units]]*Data5[[#This Row],[Cost per unit]]</f>
        <v>877.5</v>
      </c>
      <c r="P10" s="43">
        <f>Data5[[#This Row],[Amount]]-Data5[[#This Row],[Total Cost]]</f>
        <v>403.5</v>
      </c>
      <c r="S10" s="12" t="s">
        <v>20</v>
      </c>
      <c r="T10" s="45">
        <v>10.62</v>
      </c>
    </row>
    <row r="11" spans="1:20" x14ac:dyDescent="0.25">
      <c r="A11" s="23" t="s">
        <v>18</v>
      </c>
      <c r="B11" s="37">
        <v>40814.559999999998</v>
      </c>
      <c r="I11" s="12" t="s">
        <v>5</v>
      </c>
      <c r="J11" s="12" t="s">
        <v>37</v>
      </c>
      <c r="K11" s="12" t="s">
        <v>14</v>
      </c>
      <c r="L11" s="43">
        <v>4991</v>
      </c>
      <c r="M11" s="44">
        <v>12</v>
      </c>
      <c r="N11" s="43">
        <f>_xlfn.XLOOKUP(Data5[[#This Row],[Product]],products7[Product],products7[Cost per unit])</f>
        <v>11.7</v>
      </c>
      <c r="O11" s="43">
        <f>Data5[[#This Row],[Units]]*Data5[[#This Row],[Cost per unit]]</f>
        <v>140.39999999999998</v>
      </c>
      <c r="P11" s="43">
        <f>Data5[[#This Row],[Amount]]-Data5[[#This Row],[Total Cost]]</f>
        <v>4850.6000000000004</v>
      </c>
      <c r="S11" s="12" t="s">
        <v>21</v>
      </c>
      <c r="T11" s="45">
        <v>9</v>
      </c>
    </row>
    <row r="12" spans="1:20" x14ac:dyDescent="0.25">
      <c r="A12" s="23" t="s">
        <v>28</v>
      </c>
      <c r="B12" s="37">
        <v>39084.339999999989</v>
      </c>
      <c r="I12" s="12" t="s">
        <v>2</v>
      </c>
      <c r="J12" s="12" t="s">
        <v>39</v>
      </c>
      <c r="K12" s="12" t="s">
        <v>25</v>
      </c>
      <c r="L12" s="43">
        <v>1785</v>
      </c>
      <c r="M12" s="44">
        <v>462</v>
      </c>
      <c r="N12" s="43">
        <f>_xlfn.XLOOKUP(Data5[[#This Row],[Product]],products7[Product],products7[Cost per unit])</f>
        <v>13.15</v>
      </c>
      <c r="O12" s="43">
        <f>Data5[[#This Row],[Units]]*Data5[[#This Row],[Cost per unit]]</f>
        <v>6075.3</v>
      </c>
      <c r="P12" s="43">
        <f>Data5[[#This Row],[Amount]]-Data5[[#This Row],[Total Cost]]</f>
        <v>-4290.3</v>
      </c>
      <c r="S12" s="12" t="s">
        <v>22</v>
      </c>
      <c r="T12" s="45">
        <v>9.77</v>
      </c>
    </row>
    <row r="13" spans="1:20" x14ac:dyDescent="0.25">
      <c r="A13" s="23" t="s">
        <v>29</v>
      </c>
      <c r="B13" s="37">
        <v>36700.840000000011</v>
      </c>
      <c r="I13" s="12" t="s">
        <v>3</v>
      </c>
      <c r="J13" s="12" t="s">
        <v>37</v>
      </c>
      <c r="K13" s="12" t="s">
        <v>17</v>
      </c>
      <c r="L13" s="43">
        <v>3983</v>
      </c>
      <c r="M13" s="44">
        <v>144</v>
      </c>
      <c r="N13" s="43">
        <f>_xlfn.XLOOKUP(Data5[[#This Row],[Product]],products7[Product],products7[Cost per unit])</f>
        <v>3.11</v>
      </c>
      <c r="O13" s="43">
        <f>Data5[[#This Row],[Units]]*Data5[[#This Row],[Cost per unit]]</f>
        <v>447.84</v>
      </c>
      <c r="P13" s="43">
        <f>Data5[[#This Row],[Amount]]-Data5[[#This Row],[Total Cost]]</f>
        <v>3535.16</v>
      </c>
      <c r="S13" s="12" t="s">
        <v>23</v>
      </c>
      <c r="T13" s="45">
        <v>6.49</v>
      </c>
    </row>
    <row r="14" spans="1:20" x14ac:dyDescent="0.25">
      <c r="A14" s="23" t="s">
        <v>20</v>
      </c>
      <c r="B14" s="37">
        <v>31390.480000000003</v>
      </c>
      <c r="I14" s="12" t="s">
        <v>9</v>
      </c>
      <c r="J14" s="12" t="s">
        <v>38</v>
      </c>
      <c r="K14" s="12" t="s">
        <v>16</v>
      </c>
      <c r="L14" s="43">
        <v>2646</v>
      </c>
      <c r="M14" s="44">
        <v>120</v>
      </c>
      <c r="N14" s="43">
        <f>_xlfn.XLOOKUP(Data5[[#This Row],[Product]],products7[Product],products7[Cost per unit])</f>
        <v>8.7899999999999991</v>
      </c>
      <c r="O14" s="43">
        <f>Data5[[#This Row],[Units]]*Data5[[#This Row],[Cost per unit]]</f>
        <v>1054.8</v>
      </c>
      <c r="P14" s="43">
        <f>Data5[[#This Row],[Amount]]-Data5[[#This Row],[Total Cost]]</f>
        <v>1591.2</v>
      </c>
      <c r="S14" s="12" t="s">
        <v>24</v>
      </c>
      <c r="T14" s="45">
        <v>4.97</v>
      </c>
    </row>
    <row r="15" spans="1:20" x14ac:dyDescent="0.25">
      <c r="A15" s="23" t="s">
        <v>24</v>
      </c>
      <c r="B15" s="37">
        <v>30189.32</v>
      </c>
      <c r="I15" s="12" t="s">
        <v>2</v>
      </c>
      <c r="J15" s="12" t="s">
        <v>34</v>
      </c>
      <c r="K15" s="12" t="s">
        <v>13</v>
      </c>
      <c r="L15" s="43">
        <v>252</v>
      </c>
      <c r="M15" s="44">
        <v>54</v>
      </c>
      <c r="N15" s="43">
        <f>_xlfn.XLOOKUP(Data5[[#This Row],[Product]],products7[Product],products7[Cost per unit])</f>
        <v>9.33</v>
      </c>
      <c r="O15" s="43">
        <f>Data5[[#This Row],[Units]]*Data5[[#This Row],[Cost per unit]]</f>
        <v>503.82</v>
      </c>
      <c r="P15" s="43">
        <f>Data5[[#This Row],[Amount]]-Data5[[#This Row],[Total Cost]]</f>
        <v>-251.82</v>
      </c>
      <c r="S15" s="12" t="s">
        <v>25</v>
      </c>
      <c r="T15" s="45">
        <v>13.15</v>
      </c>
    </row>
    <row r="16" spans="1:20" x14ac:dyDescent="0.25">
      <c r="A16" s="23" t="s">
        <v>19</v>
      </c>
      <c r="B16" s="37">
        <v>29800.16</v>
      </c>
      <c r="I16" s="12" t="s">
        <v>3</v>
      </c>
      <c r="J16" s="12" t="s">
        <v>35</v>
      </c>
      <c r="K16" s="12" t="s">
        <v>25</v>
      </c>
      <c r="L16" s="43">
        <v>2464</v>
      </c>
      <c r="M16" s="44">
        <v>234</v>
      </c>
      <c r="N16" s="43">
        <f>_xlfn.XLOOKUP(Data5[[#This Row],[Product]],products7[Product],products7[Cost per unit])</f>
        <v>13.15</v>
      </c>
      <c r="O16" s="43">
        <f>Data5[[#This Row],[Units]]*Data5[[#This Row],[Cost per unit]]</f>
        <v>3077.1</v>
      </c>
      <c r="P16" s="43">
        <f>Data5[[#This Row],[Amount]]-Data5[[#This Row],[Total Cost]]</f>
        <v>-613.09999999999991</v>
      </c>
      <c r="S16" s="12" t="s">
        <v>26</v>
      </c>
      <c r="T16" s="45">
        <v>5.6</v>
      </c>
    </row>
    <row r="17" spans="1:20" x14ac:dyDescent="0.25">
      <c r="A17" s="23" t="s">
        <v>13</v>
      </c>
      <c r="B17" s="37">
        <v>29721.270000000004</v>
      </c>
      <c r="I17" s="12" t="s">
        <v>3</v>
      </c>
      <c r="J17" s="12" t="s">
        <v>35</v>
      </c>
      <c r="K17" s="12" t="s">
        <v>29</v>
      </c>
      <c r="L17" s="43">
        <v>2114</v>
      </c>
      <c r="M17" s="44">
        <v>66</v>
      </c>
      <c r="N17" s="43">
        <f>_xlfn.XLOOKUP(Data5[[#This Row],[Product]],products7[Product],products7[Cost per unit])</f>
        <v>7.16</v>
      </c>
      <c r="O17" s="43">
        <f>Data5[[#This Row],[Units]]*Data5[[#This Row],[Cost per unit]]</f>
        <v>472.56</v>
      </c>
      <c r="P17" s="43">
        <f>Data5[[#This Row],[Amount]]-Data5[[#This Row],[Total Cost]]</f>
        <v>1641.44</v>
      </c>
      <c r="S17" s="12" t="s">
        <v>27</v>
      </c>
      <c r="T17" s="45">
        <v>16.73</v>
      </c>
    </row>
    <row r="18" spans="1:20" x14ac:dyDescent="0.25">
      <c r="A18" s="23" t="s">
        <v>25</v>
      </c>
      <c r="B18" s="37">
        <v>29678.100000000002</v>
      </c>
      <c r="I18" s="12" t="s">
        <v>6</v>
      </c>
      <c r="J18" s="12" t="s">
        <v>37</v>
      </c>
      <c r="K18" s="12" t="s">
        <v>31</v>
      </c>
      <c r="L18" s="43">
        <v>7693</v>
      </c>
      <c r="M18" s="44">
        <v>87</v>
      </c>
      <c r="N18" s="43">
        <f>_xlfn.XLOOKUP(Data5[[#This Row],[Product]],products7[Product],products7[Cost per unit])</f>
        <v>5.79</v>
      </c>
      <c r="O18" s="43">
        <f>Data5[[#This Row],[Units]]*Data5[[#This Row],[Cost per unit]]</f>
        <v>503.73</v>
      </c>
      <c r="P18" s="43">
        <f>Data5[[#This Row],[Amount]]-Data5[[#This Row],[Total Cost]]</f>
        <v>7189.27</v>
      </c>
      <c r="S18" s="12" t="s">
        <v>28</v>
      </c>
      <c r="T18" s="45">
        <v>10.38</v>
      </c>
    </row>
    <row r="19" spans="1:20" x14ac:dyDescent="0.25">
      <c r="A19" s="23" t="s">
        <v>31</v>
      </c>
      <c r="B19" s="37">
        <v>29518.43</v>
      </c>
      <c r="I19" s="12" t="s">
        <v>5</v>
      </c>
      <c r="J19" s="12" t="s">
        <v>34</v>
      </c>
      <c r="K19" s="12" t="s">
        <v>20</v>
      </c>
      <c r="L19" s="43">
        <v>15610</v>
      </c>
      <c r="M19" s="44">
        <v>339</v>
      </c>
      <c r="N19" s="43">
        <f>_xlfn.XLOOKUP(Data5[[#This Row],[Product]],products7[Product],products7[Cost per unit])</f>
        <v>10.62</v>
      </c>
      <c r="O19" s="43">
        <f>Data5[[#This Row],[Units]]*Data5[[#This Row],[Cost per unit]]</f>
        <v>3600.18</v>
      </c>
      <c r="P19" s="43">
        <f>Data5[[#This Row],[Amount]]-Data5[[#This Row],[Total Cost]]</f>
        <v>12009.82</v>
      </c>
      <c r="S19" s="12" t="s">
        <v>29</v>
      </c>
      <c r="T19" s="45">
        <v>7.16</v>
      </c>
    </row>
    <row r="20" spans="1:20" x14ac:dyDescent="0.25">
      <c r="A20" s="23" t="s">
        <v>21</v>
      </c>
      <c r="B20" s="37">
        <v>26000</v>
      </c>
      <c r="I20" s="12" t="s">
        <v>41</v>
      </c>
      <c r="J20" s="12" t="s">
        <v>34</v>
      </c>
      <c r="K20" s="12" t="s">
        <v>22</v>
      </c>
      <c r="L20" s="43">
        <v>336</v>
      </c>
      <c r="M20" s="44">
        <v>144</v>
      </c>
      <c r="N20" s="43">
        <f>_xlfn.XLOOKUP(Data5[[#This Row],[Product]],products7[Product],products7[Cost per unit])</f>
        <v>9.77</v>
      </c>
      <c r="O20" s="43">
        <f>Data5[[#This Row],[Units]]*Data5[[#This Row],[Cost per unit]]</f>
        <v>1406.8799999999999</v>
      </c>
      <c r="P20" s="43">
        <f>Data5[[#This Row],[Amount]]-Data5[[#This Row],[Total Cost]]</f>
        <v>-1070.8799999999999</v>
      </c>
      <c r="S20" s="12" t="s">
        <v>30</v>
      </c>
      <c r="T20" s="45">
        <v>14.49</v>
      </c>
    </row>
    <row r="21" spans="1:20" x14ac:dyDescent="0.25">
      <c r="A21" s="23" t="s">
        <v>30</v>
      </c>
      <c r="B21" s="37">
        <v>25899.02</v>
      </c>
      <c r="I21" s="12" t="s">
        <v>2</v>
      </c>
      <c r="J21" s="12" t="s">
        <v>39</v>
      </c>
      <c r="K21" s="12" t="s">
        <v>20</v>
      </c>
      <c r="L21" s="43">
        <v>9443</v>
      </c>
      <c r="M21" s="44">
        <v>162</v>
      </c>
      <c r="N21" s="43">
        <f>_xlfn.XLOOKUP(Data5[[#This Row],[Product]],products7[Product],products7[Cost per unit])</f>
        <v>10.62</v>
      </c>
      <c r="O21" s="43">
        <f>Data5[[#This Row],[Units]]*Data5[[#This Row],[Cost per unit]]</f>
        <v>1720.4399999999998</v>
      </c>
      <c r="P21" s="43">
        <f>Data5[[#This Row],[Amount]]-Data5[[#This Row],[Total Cost]]</f>
        <v>7722.56</v>
      </c>
      <c r="S21" s="12" t="s">
        <v>31</v>
      </c>
      <c r="T21" s="45">
        <v>5.79</v>
      </c>
    </row>
    <row r="22" spans="1:20" x14ac:dyDescent="0.25">
      <c r="A22" s="23" t="s">
        <v>27</v>
      </c>
      <c r="B22" s="37">
        <v>19572.14</v>
      </c>
      <c r="I22" s="12" t="s">
        <v>9</v>
      </c>
      <c r="J22" s="12" t="s">
        <v>34</v>
      </c>
      <c r="K22" s="12" t="s">
        <v>23</v>
      </c>
      <c r="L22" s="43">
        <v>8155</v>
      </c>
      <c r="M22" s="44">
        <v>90</v>
      </c>
      <c r="N22" s="43">
        <f>_xlfn.XLOOKUP(Data5[[#This Row],[Product]],products7[Product],products7[Cost per unit])</f>
        <v>6.49</v>
      </c>
      <c r="O22" s="43">
        <f>Data5[[#This Row],[Units]]*Data5[[#This Row],[Cost per unit]]</f>
        <v>584.1</v>
      </c>
      <c r="P22" s="43">
        <f>Data5[[#This Row],[Amount]]-Data5[[#This Row],[Total Cost]]</f>
        <v>7570.9</v>
      </c>
      <c r="S22" s="12" t="s">
        <v>32</v>
      </c>
      <c r="T22" s="45">
        <v>8.65</v>
      </c>
    </row>
    <row r="23" spans="1:20" x14ac:dyDescent="0.25">
      <c r="A23" s="23" t="s">
        <v>14</v>
      </c>
      <c r="B23" s="37">
        <v>19525.600000000002</v>
      </c>
      <c r="I23" s="12" t="s">
        <v>8</v>
      </c>
      <c r="J23" s="12" t="s">
        <v>38</v>
      </c>
      <c r="K23" s="12" t="s">
        <v>23</v>
      </c>
      <c r="L23" s="43">
        <v>1701</v>
      </c>
      <c r="M23" s="44">
        <v>234</v>
      </c>
      <c r="N23" s="43">
        <f>_xlfn.XLOOKUP(Data5[[#This Row],[Product]],products7[Product],products7[Cost per unit])</f>
        <v>6.49</v>
      </c>
      <c r="O23" s="43">
        <f>Data5[[#This Row],[Units]]*Data5[[#This Row],[Cost per unit]]</f>
        <v>1518.66</v>
      </c>
      <c r="P23" s="43">
        <f>Data5[[#This Row],[Amount]]-Data5[[#This Row],[Total Cost]]</f>
        <v>182.33999999999992</v>
      </c>
      <c r="S23" s="12" t="s">
        <v>33</v>
      </c>
      <c r="T23" s="45">
        <v>12.37</v>
      </c>
    </row>
    <row r="24" spans="1:20" x14ac:dyDescent="0.25">
      <c r="A24" s="23" t="s">
        <v>4</v>
      </c>
      <c r="B24" s="37">
        <v>14946.92</v>
      </c>
      <c r="I24" s="12" t="s">
        <v>10</v>
      </c>
      <c r="J24" s="12" t="s">
        <v>38</v>
      </c>
      <c r="K24" s="12" t="s">
        <v>22</v>
      </c>
      <c r="L24" s="43">
        <v>2205</v>
      </c>
      <c r="M24" s="44">
        <v>141</v>
      </c>
      <c r="N24" s="43">
        <f>_xlfn.XLOOKUP(Data5[[#This Row],[Product]],products7[Product],products7[Cost per unit])</f>
        <v>9.77</v>
      </c>
      <c r="O24" s="43">
        <f>Data5[[#This Row],[Units]]*Data5[[#This Row],[Cost per unit]]</f>
        <v>1377.57</v>
      </c>
      <c r="P24" s="43">
        <f>Data5[[#This Row],[Amount]]-Data5[[#This Row],[Total Cost]]</f>
        <v>827.43000000000006</v>
      </c>
    </row>
    <row r="25" spans="1:20" x14ac:dyDescent="0.25">
      <c r="A25" s="23" t="s">
        <v>78</v>
      </c>
      <c r="B25" s="35">
        <v>795859.27</v>
      </c>
      <c r="I25" s="12" t="s">
        <v>8</v>
      </c>
      <c r="J25" s="12" t="s">
        <v>37</v>
      </c>
      <c r="K25" s="12" t="s">
        <v>19</v>
      </c>
      <c r="L25" s="43">
        <v>1771</v>
      </c>
      <c r="M25" s="44">
        <v>204</v>
      </c>
      <c r="N25" s="43">
        <f>_xlfn.XLOOKUP(Data5[[#This Row],[Product]],products7[Product],products7[Cost per unit])</f>
        <v>7.64</v>
      </c>
      <c r="O25" s="43">
        <f>Data5[[#This Row],[Units]]*Data5[[#This Row],[Cost per unit]]</f>
        <v>1558.56</v>
      </c>
      <c r="P25" s="43">
        <f>Data5[[#This Row],[Amount]]-Data5[[#This Row],[Total Cost]]</f>
        <v>212.44000000000005</v>
      </c>
    </row>
    <row r="26" spans="1:20" x14ac:dyDescent="0.25">
      <c r="I26" s="12" t="s">
        <v>41</v>
      </c>
      <c r="J26" s="12" t="s">
        <v>35</v>
      </c>
      <c r="K26" s="12" t="s">
        <v>15</v>
      </c>
      <c r="L26" s="43">
        <v>2114</v>
      </c>
      <c r="M26" s="44">
        <v>186</v>
      </c>
      <c r="N26" s="43">
        <f>_xlfn.XLOOKUP(Data5[[#This Row],[Product]],products7[Product],products7[Cost per unit])</f>
        <v>11.73</v>
      </c>
      <c r="O26" s="43">
        <f>Data5[[#This Row],[Units]]*Data5[[#This Row],[Cost per unit]]</f>
        <v>2181.7800000000002</v>
      </c>
      <c r="P26" s="43">
        <f>Data5[[#This Row],[Amount]]-Data5[[#This Row],[Total Cost]]</f>
        <v>-67.7800000000002</v>
      </c>
    </row>
    <row r="27" spans="1:20" x14ac:dyDescent="0.25">
      <c r="I27" s="12" t="s">
        <v>41</v>
      </c>
      <c r="J27" s="12" t="s">
        <v>36</v>
      </c>
      <c r="K27" s="12" t="s">
        <v>13</v>
      </c>
      <c r="L27" s="43">
        <v>10311</v>
      </c>
      <c r="M27" s="44">
        <v>231</v>
      </c>
      <c r="N27" s="43">
        <f>_xlfn.XLOOKUP(Data5[[#This Row],[Product]],products7[Product],products7[Cost per unit])</f>
        <v>9.33</v>
      </c>
      <c r="O27" s="43">
        <f>Data5[[#This Row],[Units]]*Data5[[#This Row],[Cost per unit]]</f>
        <v>2155.23</v>
      </c>
      <c r="P27" s="43">
        <f>Data5[[#This Row],[Amount]]-Data5[[#This Row],[Total Cost]]</f>
        <v>8155.77</v>
      </c>
    </row>
    <row r="28" spans="1:20" x14ac:dyDescent="0.25">
      <c r="I28" s="12" t="s">
        <v>3</v>
      </c>
      <c r="J28" s="12" t="s">
        <v>39</v>
      </c>
      <c r="K28" s="12" t="s">
        <v>16</v>
      </c>
      <c r="L28" s="43">
        <v>21</v>
      </c>
      <c r="M28" s="44">
        <v>168</v>
      </c>
      <c r="N28" s="43">
        <f>_xlfn.XLOOKUP(Data5[[#This Row],[Product]],products7[Product],products7[Cost per unit])</f>
        <v>8.7899999999999991</v>
      </c>
      <c r="O28" s="43">
        <f>Data5[[#This Row],[Units]]*Data5[[#This Row],[Cost per unit]]</f>
        <v>1476.7199999999998</v>
      </c>
      <c r="P28" s="43">
        <f>Data5[[#This Row],[Amount]]-Data5[[#This Row],[Total Cost]]</f>
        <v>-1455.7199999999998</v>
      </c>
    </row>
    <row r="29" spans="1:20" x14ac:dyDescent="0.25">
      <c r="I29" s="12" t="s">
        <v>10</v>
      </c>
      <c r="J29" s="12" t="s">
        <v>35</v>
      </c>
      <c r="K29" s="12" t="s">
        <v>20</v>
      </c>
      <c r="L29" s="43">
        <v>1974</v>
      </c>
      <c r="M29" s="44">
        <v>195</v>
      </c>
      <c r="N29" s="43">
        <f>_xlfn.XLOOKUP(Data5[[#This Row],[Product]],products7[Product],products7[Cost per unit])</f>
        <v>10.62</v>
      </c>
      <c r="O29" s="43">
        <f>Data5[[#This Row],[Units]]*Data5[[#This Row],[Cost per unit]]</f>
        <v>2070.8999999999996</v>
      </c>
      <c r="P29" s="43">
        <f>Data5[[#This Row],[Amount]]-Data5[[#This Row],[Total Cost]]</f>
        <v>-96.899999999999636</v>
      </c>
    </row>
    <row r="30" spans="1:20" x14ac:dyDescent="0.25">
      <c r="I30" s="12" t="s">
        <v>5</v>
      </c>
      <c r="J30" s="12" t="s">
        <v>36</v>
      </c>
      <c r="K30" s="12" t="s">
        <v>23</v>
      </c>
      <c r="L30" s="43">
        <v>6314</v>
      </c>
      <c r="M30" s="44">
        <v>15</v>
      </c>
      <c r="N30" s="43">
        <f>_xlfn.XLOOKUP(Data5[[#This Row],[Product]],products7[Product],products7[Cost per unit])</f>
        <v>6.49</v>
      </c>
      <c r="O30" s="43">
        <f>Data5[[#This Row],[Units]]*Data5[[#This Row],[Cost per unit]]</f>
        <v>97.350000000000009</v>
      </c>
      <c r="P30" s="43">
        <f>Data5[[#This Row],[Amount]]-Data5[[#This Row],[Total Cost]]</f>
        <v>6216.65</v>
      </c>
    </row>
    <row r="31" spans="1:20" x14ac:dyDescent="0.25">
      <c r="I31" s="12" t="s">
        <v>10</v>
      </c>
      <c r="J31" s="12" t="s">
        <v>37</v>
      </c>
      <c r="K31" s="12" t="s">
        <v>23</v>
      </c>
      <c r="L31" s="43">
        <v>4683</v>
      </c>
      <c r="M31" s="44">
        <v>30</v>
      </c>
      <c r="N31" s="43">
        <f>_xlfn.XLOOKUP(Data5[[#This Row],[Product]],products7[Product],products7[Cost per unit])</f>
        <v>6.49</v>
      </c>
      <c r="O31" s="43">
        <f>Data5[[#This Row],[Units]]*Data5[[#This Row],[Cost per unit]]</f>
        <v>194.70000000000002</v>
      </c>
      <c r="P31" s="43">
        <f>Data5[[#This Row],[Amount]]-Data5[[#This Row],[Total Cost]]</f>
        <v>4488.3</v>
      </c>
    </row>
    <row r="32" spans="1:20" x14ac:dyDescent="0.25">
      <c r="I32" s="12" t="s">
        <v>41</v>
      </c>
      <c r="J32" s="12" t="s">
        <v>37</v>
      </c>
      <c r="K32" s="12" t="s">
        <v>24</v>
      </c>
      <c r="L32" s="43">
        <v>6398</v>
      </c>
      <c r="M32" s="44">
        <v>102</v>
      </c>
      <c r="N32" s="43">
        <f>_xlfn.XLOOKUP(Data5[[#This Row],[Product]],products7[Product],products7[Cost per unit])</f>
        <v>4.97</v>
      </c>
      <c r="O32" s="43">
        <f>Data5[[#This Row],[Units]]*Data5[[#This Row],[Cost per unit]]</f>
        <v>506.94</v>
      </c>
      <c r="P32" s="43">
        <f>Data5[[#This Row],[Amount]]-Data5[[#This Row],[Total Cost]]</f>
        <v>5891.06</v>
      </c>
    </row>
    <row r="33" spans="9:16" x14ac:dyDescent="0.25">
      <c r="I33" s="12" t="s">
        <v>2</v>
      </c>
      <c r="J33" s="12" t="s">
        <v>35</v>
      </c>
      <c r="K33" s="12" t="s">
        <v>19</v>
      </c>
      <c r="L33" s="43">
        <v>553</v>
      </c>
      <c r="M33" s="44">
        <v>15</v>
      </c>
      <c r="N33" s="43">
        <f>_xlfn.XLOOKUP(Data5[[#This Row],[Product]],products7[Product],products7[Cost per unit])</f>
        <v>7.64</v>
      </c>
      <c r="O33" s="43">
        <f>Data5[[#This Row],[Units]]*Data5[[#This Row],[Cost per unit]]</f>
        <v>114.6</v>
      </c>
      <c r="P33" s="43">
        <f>Data5[[#This Row],[Amount]]-Data5[[#This Row],[Total Cost]]</f>
        <v>438.4</v>
      </c>
    </row>
    <row r="34" spans="9:16" x14ac:dyDescent="0.25">
      <c r="I34" s="12" t="s">
        <v>8</v>
      </c>
      <c r="J34" s="12" t="s">
        <v>39</v>
      </c>
      <c r="K34" s="12" t="s">
        <v>30</v>
      </c>
      <c r="L34" s="43">
        <v>7021</v>
      </c>
      <c r="M34" s="44">
        <v>183</v>
      </c>
      <c r="N34" s="43">
        <f>_xlfn.XLOOKUP(Data5[[#This Row],[Product]],products7[Product],products7[Cost per unit])</f>
        <v>14.49</v>
      </c>
      <c r="O34" s="43">
        <f>Data5[[#This Row],[Units]]*Data5[[#This Row],[Cost per unit]]</f>
        <v>2651.67</v>
      </c>
      <c r="P34" s="43">
        <f>Data5[[#This Row],[Amount]]-Data5[[#This Row],[Total Cost]]</f>
        <v>4369.33</v>
      </c>
    </row>
    <row r="35" spans="9:16" x14ac:dyDescent="0.25">
      <c r="I35" s="12" t="s">
        <v>40</v>
      </c>
      <c r="J35" s="12" t="s">
        <v>39</v>
      </c>
      <c r="K35" s="12" t="s">
        <v>22</v>
      </c>
      <c r="L35" s="43">
        <v>5817</v>
      </c>
      <c r="M35" s="44">
        <v>12</v>
      </c>
      <c r="N35" s="43">
        <f>_xlfn.XLOOKUP(Data5[[#This Row],[Product]],products7[Product],products7[Cost per unit])</f>
        <v>9.77</v>
      </c>
      <c r="O35" s="43">
        <f>Data5[[#This Row],[Units]]*Data5[[#This Row],[Cost per unit]]</f>
        <v>117.24</v>
      </c>
      <c r="P35" s="43">
        <f>Data5[[#This Row],[Amount]]-Data5[[#This Row],[Total Cost]]</f>
        <v>5699.76</v>
      </c>
    </row>
    <row r="36" spans="9:16" x14ac:dyDescent="0.25">
      <c r="I36" s="12" t="s">
        <v>41</v>
      </c>
      <c r="J36" s="12" t="s">
        <v>39</v>
      </c>
      <c r="K36" s="12" t="s">
        <v>14</v>
      </c>
      <c r="L36" s="43">
        <v>3976</v>
      </c>
      <c r="M36" s="44">
        <v>72</v>
      </c>
      <c r="N36" s="43">
        <f>_xlfn.XLOOKUP(Data5[[#This Row],[Product]],products7[Product],products7[Cost per unit])</f>
        <v>11.7</v>
      </c>
      <c r="O36" s="43">
        <f>Data5[[#This Row],[Units]]*Data5[[#This Row],[Cost per unit]]</f>
        <v>842.4</v>
      </c>
      <c r="P36" s="43">
        <f>Data5[[#This Row],[Amount]]-Data5[[#This Row],[Total Cost]]</f>
        <v>3133.6</v>
      </c>
    </row>
    <row r="37" spans="9:16" x14ac:dyDescent="0.25">
      <c r="I37" s="12" t="s">
        <v>6</v>
      </c>
      <c r="J37" s="12" t="s">
        <v>38</v>
      </c>
      <c r="K37" s="12" t="s">
        <v>27</v>
      </c>
      <c r="L37" s="43">
        <v>1134</v>
      </c>
      <c r="M37" s="44">
        <v>282</v>
      </c>
      <c r="N37" s="43">
        <f>_xlfn.XLOOKUP(Data5[[#This Row],[Product]],products7[Product],products7[Cost per unit])</f>
        <v>16.73</v>
      </c>
      <c r="O37" s="43">
        <f>Data5[[#This Row],[Units]]*Data5[[#This Row],[Cost per unit]]</f>
        <v>4717.8599999999997</v>
      </c>
      <c r="P37" s="43">
        <f>Data5[[#This Row],[Amount]]-Data5[[#This Row],[Total Cost]]</f>
        <v>-3583.8599999999997</v>
      </c>
    </row>
    <row r="38" spans="9:16" x14ac:dyDescent="0.25">
      <c r="I38" s="12" t="s">
        <v>2</v>
      </c>
      <c r="J38" s="12" t="s">
        <v>39</v>
      </c>
      <c r="K38" s="12" t="s">
        <v>28</v>
      </c>
      <c r="L38" s="43">
        <v>6027</v>
      </c>
      <c r="M38" s="44">
        <v>144</v>
      </c>
      <c r="N38" s="43">
        <f>_xlfn.XLOOKUP(Data5[[#This Row],[Product]],products7[Product],products7[Cost per unit])</f>
        <v>10.38</v>
      </c>
      <c r="O38" s="43">
        <f>Data5[[#This Row],[Units]]*Data5[[#This Row],[Cost per unit]]</f>
        <v>1494.72</v>
      </c>
      <c r="P38" s="43">
        <f>Data5[[#This Row],[Amount]]-Data5[[#This Row],[Total Cost]]</f>
        <v>4532.28</v>
      </c>
    </row>
    <row r="39" spans="9:16" x14ac:dyDescent="0.25">
      <c r="I39" s="12" t="s">
        <v>6</v>
      </c>
      <c r="J39" s="12" t="s">
        <v>37</v>
      </c>
      <c r="K39" s="12" t="s">
        <v>16</v>
      </c>
      <c r="L39" s="43">
        <v>1904</v>
      </c>
      <c r="M39" s="44">
        <v>405</v>
      </c>
      <c r="N39" s="43">
        <f>_xlfn.XLOOKUP(Data5[[#This Row],[Product]],products7[Product],products7[Cost per unit])</f>
        <v>8.7899999999999991</v>
      </c>
      <c r="O39" s="43">
        <f>Data5[[#This Row],[Units]]*Data5[[#This Row],[Cost per unit]]</f>
        <v>3559.95</v>
      </c>
      <c r="P39" s="43">
        <f>Data5[[#This Row],[Amount]]-Data5[[#This Row],[Total Cost]]</f>
        <v>-1655.9499999999998</v>
      </c>
    </row>
    <row r="40" spans="9:16" x14ac:dyDescent="0.25">
      <c r="I40" s="12" t="s">
        <v>7</v>
      </c>
      <c r="J40" s="12" t="s">
        <v>34</v>
      </c>
      <c r="K40" s="12" t="s">
        <v>32</v>
      </c>
      <c r="L40" s="43">
        <v>3262</v>
      </c>
      <c r="M40" s="44">
        <v>75</v>
      </c>
      <c r="N40" s="43">
        <f>_xlfn.XLOOKUP(Data5[[#This Row],[Product]],products7[Product],products7[Cost per unit])</f>
        <v>8.65</v>
      </c>
      <c r="O40" s="43">
        <f>Data5[[#This Row],[Units]]*Data5[[#This Row],[Cost per unit]]</f>
        <v>648.75</v>
      </c>
      <c r="P40" s="43">
        <f>Data5[[#This Row],[Amount]]-Data5[[#This Row],[Total Cost]]</f>
        <v>2613.25</v>
      </c>
    </row>
    <row r="41" spans="9:16" x14ac:dyDescent="0.25">
      <c r="I41" s="12" t="s">
        <v>40</v>
      </c>
      <c r="J41" s="12" t="s">
        <v>34</v>
      </c>
      <c r="K41" s="12" t="s">
        <v>27</v>
      </c>
      <c r="L41" s="43">
        <v>2289</v>
      </c>
      <c r="M41" s="44">
        <v>135</v>
      </c>
      <c r="N41" s="43">
        <f>_xlfn.XLOOKUP(Data5[[#This Row],[Product]],products7[Product],products7[Cost per unit])</f>
        <v>16.73</v>
      </c>
      <c r="O41" s="43">
        <f>Data5[[#This Row],[Units]]*Data5[[#This Row],[Cost per unit]]</f>
        <v>2258.5500000000002</v>
      </c>
      <c r="P41" s="43">
        <f>Data5[[#This Row],[Amount]]-Data5[[#This Row],[Total Cost]]</f>
        <v>30.449999999999818</v>
      </c>
    </row>
    <row r="42" spans="9:16" x14ac:dyDescent="0.25">
      <c r="I42" s="12" t="s">
        <v>5</v>
      </c>
      <c r="J42" s="12" t="s">
        <v>34</v>
      </c>
      <c r="K42" s="12" t="s">
        <v>27</v>
      </c>
      <c r="L42" s="43">
        <v>6986</v>
      </c>
      <c r="M42" s="44">
        <v>21</v>
      </c>
      <c r="N42" s="43">
        <f>_xlfn.XLOOKUP(Data5[[#This Row],[Product]],products7[Product],products7[Cost per unit])</f>
        <v>16.73</v>
      </c>
      <c r="O42" s="43">
        <f>Data5[[#This Row],[Units]]*Data5[[#This Row],[Cost per unit]]</f>
        <v>351.33</v>
      </c>
      <c r="P42" s="43">
        <f>Data5[[#This Row],[Amount]]-Data5[[#This Row],[Total Cost]]</f>
        <v>6634.67</v>
      </c>
    </row>
    <row r="43" spans="9:16" x14ac:dyDescent="0.25">
      <c r="I43" s="12" t="s">
        <v>2</v>
      </c>
      <c r="J43" s="12" t="s">
        <v>38</v>
      </c>
      <c r="K43" s="12" t="s">
        <v>23</v>
      </c>
      <c r="L43" s="43">
        <v>4417</v>
      </c>
      <c r="M43" s="44">
        <v>153</v>
      </c>
      <c r="N43" s="43">
        <f>_xlfn.XLOOKUP(Data5[[#This Row],[Product]],products7[Product],products7[Cost per unit])</f>
        <v>6.49</v>
      </c>
      <c r="O43" s="43">
        <f>Data5[[#This Row],[Units]]*Data5[[#This Row],[Cost per unit]]</f>
        <v>992.97</v>
      </c>
      <c r="P43" s="43">
        <f>Data5[[#This Row],[Amount]]-Data5[[#This Row],[Total Cost]]</f>
        <v>3424.0299999999997</v>
      </c>
    </row>
    <row r="44" spans="9:16" x14ac:dyDescent="0.25">
      <c r="I44" s="12" t="s">
        <v>6</v>
      </c>
      <c r="J44" s="12" t="s">
        <v>34</v>
      </c>
      <c r="K44" s="12" t="s">
        <v>15</v>
      </c>
      <c r="L44" s="43">
        <v>1442</v>
      </c>
      <c r="M44" s="44">
        <v>15</v>
      </c>
      <c r="N44" s="43">
        <f>_xlfn.XLOOKUP(Data5[[#This Row],[Product]],products7[Product],products7[Cost per unit])</f>
        <v>11.73</v>
      </c>
      <c r="O44" s="43">
        <f>Data5[[#This Row],[Units]]*Data5[[#This Row],[Cost per unit]]</f>
        <v>175.95000000000002</v>
      </c>
      <c r="P44" s="43">
        <f>Data5[[#This Row],[Amount]]-Data5[[#This Row],[Total Cost]]</f>
        <v>1266.05</v>
      </c>
    </row>
    <row r="45" spans="9:16" x14ac:dyDescent="0.25">
      <c r="I45" s="12" t="s">
        <v>3</v>
      </c>
      <c r="J45" s="12" t="s">
        <v>35</v>
      </c>
      <c r="K45" s="12" t="s">
        <v>14</v>
      </c>
      <c r="L45" s="43">
        <v>2415</v>
      </c>
      <c r="M45" s="44">
        <v>255</v>
      </c>
      <c r="N45" s="43">
        <f>_xlfn.XLOOKUP(Data5[[#This Row],[Product]],products7[Product],products7[Cost per unit])</f>
        <v>11.7</v>
      </c>
      <c r="O45" s="43">
        <f>Data5[[#This Row],[Units]]*Data5[[#This Row],[Cost per unit]]</f>
        <v>2983.5</v>
      </c>
      <c r="P45" s="43">
        <f>Data5[[#This Row],[Amount]]-Data5[[#This Row],[Total Cost]]</f>
        <v>-568.5</v>
      </c>
    </row>
    <row r="46" spans="9:16" x14ac:dyDescent="0.25">
      <c r="I46" s="12" t="s">
        <v>2</v>
      </c>
      <c r="J46" s="12" t="s">
        <v>37</v>
      </c>
      <c r="K46" s="12" t="s">
        <v>19</v>
      </c>
      <c r="L46" s="43">
        <v>238</v>
      </c>
      <c r="M46" s="44">
        <v>18</v>
      </c>
      <c r="N46" s="43">
        <f>_xlfn.XLOOKUP(Data5[[#This Row],[Product]],products7[Product],products7[Cost per unit])</f>
        <v>7.64</v>
      </c>
      <c r="O46" s="43">
        <f>Data5[[#This Row],[Units]]*Data5[[#This Row],[Cost per unit]]</f>
        <v>137.51999999999998</v>
      </c>
      <c r="P46" s="43">
        <f>Data5[[#This Row],[Amount]]-Data5[[#This Row],[Total Cost]]</f>
        <v>100.48000000000002</v>
      </c>
    </row>
    <row r="47" spans="9:16" x14ac:dyDescent="0.25">
      <c r="I47" s="12" t="s">
        <v>6</v>
      </c>
      <c r="J47" s="12" t="s">
        <v>37</v>
      </c>
      <c r="K47" s="12" t="s">
        <v>23</v>
      </c>
      <c r="L47" s="43">
        <v>4949</v>
      </c>
      <c r="M47" s="44">
        <v>189</v>
      </c>
      <c r="N47" s="43">
        <f>_xlfn.XLOOKUP(Data5[[#This Row],[Product]],products7[Product],products7[Cost per unit])</f>
        <v>6.49</v>
      </c>
      <c r="O47" s="43">
        <f>Data5[[#This Row],[Units]]*Data5[[#This Row],[Cost per unit]]</f>
        <v>1226.6100000000001</v>
      </c>
      <c r="P47" s="43">
        <f>Data5[[#This Row],[Amount]]-Data5[[#This Row],[Total Cost]]</f>
        <v>3722.39</v>
      </c>
    </row>
    <row r="48" spans="9:16" x14ac:dyDescent="0.25">
      <c r="I48" s="12" t="s">
        <v>5</v>
      </c>
      <c r="J48" s="12" t="s">
        <v>38</v>
      </c>
      <c r="K48" s="12" t="s">
        <v>32</v>
      </c>
      <c r="L48" s="43">
        <v>5075</v>
      </c>
      <c r="M48" s="44">
        <v>21</v>
      </c>
      <c r="N48" s="43">
        <f>_xlfn.XLOOKUP(Data5[[#This Row],[Product]],products7[Product],products7[Cost per unit])</f>
        <v>8.65</v>
      </c>
      <c r="O48" s="43">
        <f>Data5[[#This Row],[Units]]*Data5[[#This Row],[Cost per unit]]</f>
        <v>181.65</v>
      </c>
      <c r="P48" s="43">
        <f>Data5[[#This Row],[Amount]]-Data5[[#This Row],[Total Cost]]</f>
        <v>4893.3500000000004</v>
      </c>
    </row>
    <row r="49" spans="9:16" x14ac:dyDescent="0.25">
      <c r="I49" s="12" t="s">
        <v>3</v>
      </c>
      <c r="J49" s="12" t="s">
        <v>36</v>
      </c>
      <c r="K49" s="12" t="s">
        <v>16</v>
      </c>
      <c r="L49" s="43">
        <v>9198</v>
      </c>
      <c r="M49" s="44">
        <v>36</v>
      </c>
      <c r="N49" s="43">
        <f>_xlfn.XLOOKUP(Data5[[#This Row],[Product]],products7[Product],products7[Cost per unit])</f>
        <v>8.7899999999999991</v>
      </c>
      <c r="O49" s="43">
        <f>Data5[[#This Row],[Units]]*Data5[[#This Row],[Cost per unit]]</f>
        <v>316.43999999999994</v>
      </c>
      <c r="P49" s="43">
        <f>Data5[[#This Row],[Amount]]-Data5[[#This Row],[Total Cost]]</f>
        <v>8881.56</v>
      </c>
    </row>
    <row r="50" spans="9:16" x14ac:dyDescent="0.25">
      <c r="I50" s="12" t="s">
        <v>6</v>
      </c>
      <c r="J50" s="12" t="s">
        <v>34</v>
      </c>
      <c r="K50" s="12" t="s">
        <v>29</v>
      </c>
      <c r="L50" s="43">
        <v>3339</v>
      </c>
      <c r="M50" s="44">
        <v>75</v>
      </c>
      <c r="N50" s="43">
        <f>_xlfn.XLOOKUP(Data5[[#This Row],[Product]],products7[Product],products7[Cost per unit])</f>
        <v>7.16</v>
      </c>
      <c r="O50" s="43">
        <f>Data5[[#This Row],[Units]]*Data5[[#This Row],[Cost per unit]]</f>
        <v>537</v>
      </c>
      <c r="P50" s="43">
        <f>Data5[[#This Row],[Amount]]-Data5[[#This Row],[Total Cost]]</f>
        <v>2802</v>
      </c>
    </row>
    <row r="51" spans="9:16" x14ac:dyDescent="0.25">
      <c r="I51" s="12" t="s">
        <v>40</v>
      </c>
      <c r="J51" s="12" t="s">
        <v>34</v>
      </c>
      <c r="K51" s="12" t="s">
        <v>17</v>
      </c>
      <c r="L51" s="43">
        <v>5019</v>
      </c>
      <c r="M51" s="44">
        <v>156</v>
      </c>
      <c r="N51" s="43">
        <f>_xlfn.XLOOKUP(Data5[[#This Row],[Product]],products7[Product],products7[Cost per unit])</f>
        <v>3.11</v>
      </c>
      <c r="O51" s="43">
        <f>Data5[[#This Row],[Units]]*Data5[[#This Row],[Cost per unit]]</f>
        <v>485.15999999999997</v>
      </c>
      <c r="P51" s="43">
        <f>Data5[[#This Row],[Amount]]-Data5[[#This Row],[Total Cost]]</f>
        <v>4533.84</v>
      </c>
    </row>
    <row r="52" spans="9:16" x14ac:dyDescent="0.25">
      <c r="I52" s="12" t="s">
        <v>5</v>
      </c>
      <c r="J52" s="12" t="s">
        <v>36</v>
      </c>
      <c r="K52" s="12" t="s">
        <v>16</v>
      </c>
      <c r="L52" s="43">
        <v>16184</v>
      </c>
      <c r="M52" s="44">
        <v>39</v>
      </c>
      <c r="N52" s="43">
        <f>_xlfn.XLOOKUP(Data5[[#This Row],[Product]],products7[Product],products7[Cost per unit])</f>
        <v>8.7899999999999991</v>
      </c>
      <c r="O52" s="43">
        <f>Data5[[#This Row],[Units]]*Data5[[#This Row],[Cost per unit]]</f>
        <v>342.80999999999995</v>
      </c>
      <c r="P52" s="43">
        <f>Data5[[#This Row],[Amount]]-Data5[[#This Row],[Total Cost]]</f>
        <v>15841.19</v>
      </c>
    </row>
    <row r="53" spans="9:16" x14ac:dyDescent="0.25">
      <c r="I53" s="12" t="s">
        <v>6</v>
      </c>
      <c r="J53" s="12" t="s">
        <v>36</v>
      </c>
      <c r="K53" s="12" t="s">
        <v>21</v>
      </c>
      <c r="L53" s="43">
        <v>497</v>
      </c>
      <c r="M53" s="44">
        <v>63</v>
      </c>
      <c r="N53" s="43">
        <f>_xlfn.XLOOKUP(Data5[[#This Row],[Product]],products7[Product],products7[Cost per unit])</f>
        <v>9</v>
      </c>
      <c r="O53" s="43">
        <f>Data5[[#This Row],[Units]]*Data5[[#This Row],[Cost per unit]]</f>
        <v>567</v>
      </c>
      <c r="P53" s="43">
        <f>Data5[[#This Row],[Amount]]-Data5[[#This Row],[Total Cost]]</f>
        <v>-70</v>
      </c>
    </row>
    <row r="54" spans="9:16" x14ac:dyDescent="0.25">
      <c r="I54" s="12" t="s">
        <v>2</v>
      </c>
      <c r="J54" s="12" t="s">
        <v>36</v>
      </c>
      <c r="K54" s="12" t="s">
        <v>29</v>
      </c>
      <c r="L54" s="43">
        <v>8211</v>
      </c>
      <c r="M54" s="44">
        <v>75</v>
      </c>
      <c r="N54" s="43">
        <f>_xlfn.XLOOKUP(Data5[[#This Row],[Product]],products7[Product],products7[Cost per unit])</f>
        <v>7.16</v>
      </c>
      <c r="O54" s="43">
        <f>Data5[[#This Row],[Units]]*Data5[[#This Row],[Cost per unit]]</f>
        <v>537</v>
      </c>
      <c r="P54" s="43">
        <f>Data5[[#This Row],[Amount]]-Data5[[#This Row],[Total Cost]]</f>
        <v>7674</v>
      </c>
    </row>
    <row r="55" spans="9:16" x14ac:dyDescent="0.25">
      <c r="I55" s="12" t="s">
        <v>2</v>
      </c>
      <c r="J55" s="12" t="s">
        <v>38</v>
      </c>
      <c r="K55" s="12" t="s">
        <v>28</v>
      </c>
      <c r="L55" s="43">
        <v>6580</v>
      </c>
      <c r="M55" s="44">
        <v>183</v>
      </c>
      <c r="N55" s="43">
        <f>_xlfn.XLOOKUP(Data5[[#This Row],[Product]],products7[Product],products7[Cost per unit])</f>
        <v>10.38</v>
      </c>
      <c r="O55" s="43">
        <f>Data5[[#This Row],[Units]]*Data5[[#This Row],[Cost per unit]]</f>
        <v>1899.5400000000002</v>
      </c>
      <c r="P55" s="43">
        <f>Data5[[#This Row],[Amount]]-Data5[[#This Row],[Total Cost]]</f>
        <v>4680.46</v>
      </c>
    </row>
    <row r="56" spans="9:16" x14ac:dyDescent="0.25">
      <c r="I56" s="12" t="s">
        <v>41</v>
      </c>
      <c r="J56" s="12" t="s">
        <v>35</v>
      </c>
      <c r="K56" s="12" t="s">
        <v>13</v>
      </c>
      <c r="L56" s="43">
        <v>4760</v>
      </c>
      <c r="M56" s="44">
        <v>69</v>
      </c>
      <c r="N56" s="43">
        <f>_xlfn.XLOOKUP(Data5[[#This Row],[Product]],products7[Product],products7[Cost per unit])</f>
        <v>9.33</v>
      </c>
      <c r="O56" s="43">
        <f>Data5[[#This Row],[Units]]*Data5[[#This Row],[Cost per unit]]</f>
        <v>643.77</v>
      </c>
      <c r="P56" s="43">
        <f>Data5[[#This Row],[Amount]]-Data5[[#This Row],[Total Cost]]</f>
        <v>4116.2299999999996</v>
      </c>
    </row>
    <row r="57" spans="9:16" x14ac:dyDescent="0.25">
      <c r="I57" s="12" t="s">
        <v>40</v>
      </c>
      <c r="J57" s="12" t="s">
        <v>36</v>
      </c>
      <c r="K57" s="12" t="s">
        <v>25</v>
      </c>
      <c r="L57" s="43">
        <v>5439</v>
      </c>
      <c r="M57" s="44">
        <v>30</v>
      </c>
      <c r="N57" s="43">
        <f>_xlfn.XLOOKUP(Data5[[#This Row],[Product]],products7[Product],products7[Cost per unit])</f>
        <v>13.15</v>
      </c>
      <c r="O57" s="43">
        <f>Data5[[#This Row],[Units]]*Data5[[#This Row],[Cost per unit]]</f>
        <v>394.5</v>
      </c>
      <c r="P57" s="43">
        <f>Data5[[#This Row],[Amount]]-Data5[[#This Row],[Total Cost]]</f>
        <v>5044.5</v>
      </c>
    </row>
    <row r="58" spans="9:16" x14ac:dyDescent="0.25">
      <c r="I58" s="12" t="s">
        <v>41</v>
      </c>
      <c r="J58" s="12" t="s">
        <v>34</v>
      </c>
      <c r="K58" s="12" t="s">
        <v>17</v>
      </c>
      <c r="L58" s="43">
        <v>1463</v>
      </c>
      <c r="M58" s="44">
        <v>39</v>
      </c>
      <c r="N58" s="43">
        <f>_xlfn.XLOOKUP(Data5[[#This Row],[Product]],products7[Product],products7[Cost per unit])</f>
        <v>3.11</v>
      </c>
      <c r="O58" s="43">
        <f>Data5[[#This Row],[Units]]*Data5[[#This Row],[Cost per unit]]</f>
        <v>121.28999999999999</v>
      </c>
      <c r="P58" s="43">
        <f>Data5[[#This Row],[Amount]]-Data5[[#This Row],[Total Cost]]</f>
        <v>1341.71</v>
      </c>
    </row>
    <row r="59" spans="9:16" x14ac:dyDescent="0.25">
      <c r="I59" s="12" t="s">
        <v>3</v>
      </c>
      <c r="J59" s="12" t="s">
        <v>34</v>
      </c>
      <c r="K59" s="12" t="s">
        <v>32</v>
      </c>
      <c r="L59" s="43">
        <v>7777</v>
      </c>
      <c r="M59" s="44">
        <v>504</v>
      </c>
      <c r="N59" s="43">
        <f>_xlfn.XLOOKUP(Data5[[#This Row],[Product]],products7[Product],products7[Cost per unit])</f>
        <v>8.65</v>
      </c>
      <c r="O59" s="43">
        <f>Data5[[#This Row],[Units]]*Data5[[#This Row],[Cost per unit]]</f>
        <v>4359.6000000000004</v>
      </c>
      <c r="P59" s="43">
        <f>Data5[[#This Row],[Amount]]-Data5[[#This Row],[Total Cost]]</f>
        <v>3417.3999999999996</v>
      </c>
    </row>
    <row r="60" spans="9:16" x14ac:dyDescent="0.25">
      <c r="I60" s="12" t="s">
        <v>9</v>
      </c>
      <c r="J60" s="12" t="s">
        <v>37</v>
      </c>
      <c r="K60" s="12" t="s">
        <v>29</v>
      </c>
      <c r="L60" s="43">
        <v>1085</v>
      </c>
      <c r="M60" s="44">
        <v>273</v>
      </c>
      <c r="N60" s="43">
        <f>_xlfn.XLOOKUP(Data5[[#This Row],[Product]],products7[Product],products7[Cost per unit])</f>
        <v>7.16</v>
      </c>
      <c r="O60" s="43">
        <f>Data5[[#This Row],[Units]]*Data5[[#This Row],[Cost per unit]]</f>
        <v>1954.68</v>
      </c>
      <c r="P60" s="43">
        <f>Data5[[#This Row],[Amount]]-Data5[[#This Row],[Total Cost]]</f>
        <v>-869.68000000000006</v>
      </c>
    </row>
    <row r="61" spans="9:16" x14ac:dyDescent="0.25">
      <c r="I61" s="12" t="s">
        <v>5</v>
      </c>
      <c r="J61" s="12" t="s">
        <v>37</v>
      </c>
      <c r="K61" s="12" t="s">
        <v>31</v>
      </c>
      <c r="L61" s="43">
        <v>182</v>
      </c>
      <c r="M61" s="44">
        <v>48</v>
      </c>
      <c r="N61" s="43">
        <f>_xlfn.XLOOKUP(Data5[[#This Row],[Product]],products7[Product],products7[Cost per unit])</f>
        <v>5.79</v>
      </c>
      <c r="O61" s="43">
        <f>Data5[[#This Row],[Units]]*Data5[[#This Row],[Cost per unit]]</f>
        <v>277.92</v>
      </c>
      <c r="P61" s="43">
        <f>Data5[[#This Row],[Amount]]-Data5[[#This Row],[Total Cost]]</f>
        <v>-95.920000000000016</v>
      </c>
    </row>
    <row r="62" spans="9:16" x14ac:dyDescent="0.25">
      <c r="I62" s="12" t="s">
        <v>6</v>
      </c>
      <c r="J62" s="12" t="s">
        <v>34</v>
      </c>
      <c r="K62" s="12" t="s">
        <v>27</v>
      </c>
      <c r="L62" s="43">
        <v>4242</v>
      </c>
      <c r="M62" s="44">
        <v>207</v>
      </c>
      <c r="N62" s="43">
        <f>_xlfn.XLOOKUP(Data5[[#This Row],[Product]],products7[Product],products7[Cost per unit])</f>
        <v>16.73</v>
      </c>
      <c r="O62" s="43">
        <f>Data5[[#This Row],[Units]]*Data5[[#This Row],[Cost per unit]]</f>
        <v>3463.11</v>
      </c>
      <c r="P62" s="43">
        <f>Data5[[#This Row],[Amount]]-Data5[[#This Row],[Total Cost]]</f>
        <v>778.88999999999987</v>
      </c>
    </row>
    <row r="63" spans="9:16" x14ac:dyDescent="0.25">
      <c r="I63" s="12" t="s">
        <v>6</v>
      </c>
      <c r="J63" s="12" t="s">
        <v>36</v>
      </c>
      <c r="K63" s="12" t="s">
        <v>32</v>
      </c>
      <c r="L63" s="43">
        <v>6118</v>
      </c>
      <c r="M63" s="44">
        <v>9</v>
      </c>
      <c r="N63" s="43">
        <f>_xlfn.XLOOKUP(Data5[[#This Row],[Product]],products7[Product],products7[Cost per unit])</f>
        <v>8.65</v>
      </c>
      <c r="O63" s="43">
        <f>Data5[[#This Row],[Units]]*Data5[[#This Row],[Cost per unit]]</f>
        <v>77.850000000000009</v>
      </c>
      <c r="P63" s="43">
        <f>Data5[[#This Row],[Amount]]-Data5[[#This Row],[Total Cost]]</f>
        <v>6040.15</v>
      </c>
    </row>
    <row r="64" spans="9:16" x14ac:dyDescent="0.25">
      <c r="I64" s="12" t="s">
        <v>10</v>
      </c>
      <c r="J64" s="12" t="s">
        <v>36</v>
      </c>
      <c r="K64" s="12" t="s">
        <v>23</v>
      </c>
      <c r="L64" s="43">
        <v>2317</v>
      </c>
      <c r="M64" s="44">
        <v>261</v>
      </c>
      <c r="N64" s="43">
        <f>_xlfn.XLOOKUP(Data5[[#This Row],[Product]],products7[Product],products7[Cost per unit])</f>
        <v>6.49</v>
      </c>
      <c r="O64" s="43">
        <f>Data5[[#This Row],[Units]]*Data5[[#This Row],[Cost per unit]]</f>
        <v>1693.89</v>
      </c>
      <c r="P64" s="43">
        <f>Data5[[#This Row],[Amount]]-Data5[[#This Row],[Total Cost]]</f>
        <v>623.1099999999999</v>
      </c>
    </row>
    <row r="65" spans="9:16" x14ac:dyDescent="0.25">
      <c r="I65" s="12" t="s">
        <v>6</v>
      </c>
      <c r="J65" s="12" t="s">
        <v>38</v>
      </c>
      <c r="K65" s="12" t="s">
        <v>16</v>
      </c>
      <c r="L65" s="43">
        <v>938</v>
      </c>
      <c r="M65" s="44">
        <v>6</v>
      </c>
      <c r="N65" s="43">
        <f>_xlfn.XLOOKUP(Data5[[#This Row],[Product]],products7[Product],products7[Cost per unit])</f>
        <v>8.7899999999999991</v>
      </c>
      <c r="O65" s="43">
        <f>Data5[[#This Row],[Units]]*Data5[[#This Row],[Cost per unit]]</f>
        <v>52.739999999999995</v>
      </c>
      <c r="P65" s="43">
        <f>Data5[[#This Row],[Amount]]-Data5[[#This Row],[Total Cost]]</f>
        <v>885.26</v>
      </c>
    </row>
    <row r="66" spans="9:16" x14ac:dyDescent="0.25">
      <c r="I66" s="12" t="s">
        <v>8</v>
      </c>
      <c r="J66" s="12" t="s">
        <v>37</v>
      </c>
      <c r="K66" s="12" t="s">
        <v>15</v>
      </c>
      <c r="L66" s="43">
        <v>9709</v>
      </c>
      <c r="M66" s="44">
        <v>30</v>
      </c>
      <c r="N66" s="43">
        <f>_xlfn.XLOOKUP(Data5[[#This Row],[Product]],products7[Product],products7[Cost per unit])</f>
        <v>11.73</v>
      </c>
      <c r="O66" s="43">
        <f>Data5[[#This Row],[Units]]*Data5[[#This Row],[Cost per unit]]</f>
        <v>351.90000000000003</v>
      </c>
      <c r="P66" s="43">
        <f>Data5[[#This Row],[Amount]]-Data5[[#This Row],[Total Cost]]</f>
        <v>9357.1</v>
      </c>
    </row>
    <row r="67" spans="9:16" x14ac:dyDescent="0.25">
      <c r="I67" s="12" t="s">
        <v>7</v>
      </c>
      <c r="J67" s="12" t="s">
        <v>34</v>
      </c>
      <c r="K67" s="12" t="s">
        <v>20</v>
      </c>
      <c r="L67" s="43">
        <v>2205</v>
      </c>
      <c r="M67" s="44">
        <v>138</v>
      </c>
      <c r="N67" s="43">
        <f>_xlfn.XLOOKUP(Data5[[#This Row],[Product]],products7[Product],products7[Cost per unit])</f>
        <v>10.62</v>
      </c>
      <c r="O67" s="43">
        <f>Data5[[#This Row],[Units]]*Data5[[#This Row],[Cost per unit]]</f>
        <v>1465.56</v>
      </c>
      <c r="P67" s="43">
        <f>Data5[[#This Row],[Amount]]-Data5[[#This Row],[Total Cost]]</f>
        <v>739.44</v>
      </c>
    </row>
    <row r="68" spans="9:16" x14ac:dyDescent="0.25">
      <c r="I68" s="12" t="s">
        <v>7</v>
      </c>
      <c r="J68" s="12" t="s">
        <v>37</v>
      </c>
      <c r="K68" s="12" t="s">
        <v>17</v>
      </c>
      <c r="L68" s="43">
        <v>4487</v>
      </c>
      <c r="M68" s="44">
        <v>111</v>
      </c>
      <c r="N68" s="43">
        <f>_xlfn.XLOOKUP(Data5[[#This Row],[Product]],products7[Product],products7[Cost per unit])</f>
        <v>3.11</v>
      </c>
      <c r="O68" s="43">
        <f>Data5[[#This Row],[Units]]*Data5[[#This Row],[Cost per unit]]</f>
        <v>345.21</v>
      </c>
      <c r="P68" s="43">
        <f>Data5[[#This Row],[Amount]]-Data5[[#This Row],[Total Cost]]</f>
        <v>4141.79</v>
      </c>
    </row>
    <row r="69" spans="9:16" x14ac:dyDescent="0.25">
      <c r="I69" s="12" t="s">
        <v>5</v>
      </c>
      <c r="J69" s="12" t="s">
        <v>35</v>
      </c>
      <c r="K69" s="12" t="s">
        <v>18</v>
      </c>
      <c r="L69" s="43">
        <v>2415</v>
      </c>
      <c r="M69" s="44">
        <v>15</v>
      </c>
      <c r="N69" s="43">
        <f>_xlfn.XLOOKUP(Data5[[#This Row],[Product]],products7[Product],products7[Cost per unit])</f>
        <v>6.47</v>
      </c>
      <c r="O69" s="43">
        <f>Data5[[#This Row],[Units]]*Data5[[#This Row],[Cost per unit]]</f>
        <v>97.05</v>
      </c>
      <c r="P69" s="43">
        <f>Data5[[#This Row],[Amount]]-Data5[[#This Row],[Total Cost]]</f>
        <v>2317.9499999999998</v>
      </c>
    </row>
    <row r="70" spans="9:16" x14ac:dyDescent="0.25">
      <c r="I70" s="12" t="s">
        <v>40</v>
      </c>
      <c r="J70" s="12" t="s">
        <v>34</v>
      </c>
      <c r="K70" s="12" t="s">
        <v>19</v>
      </c>
      <c r="L70" s="43">
        <v>4018</v>
      </c>
      <c r="M70" s="44">
        <v>162</v>
      </c>
      <c r="N70" s="43">
        <f>_xlfn.XLOOKUP(Data5[[#This Row],[Product]],products7[Product],products7[Cost per unit])</f>
        <v>7.64</v>
      </c>
      <c r="O70" s="43">
        <f>Data5[[#This Row],[Units]]*Data5[[#This Row],[Cost per unit]]</f>
        <v>1237.6799999999998</v>
      </c>
      <c r="P70" s="43">
        <f>Data5[[#This Row],[Amount]]-Data5[[#This Row],[Total Cost]]</f>
        <v>2780.32</v>
      </c>
    </row>
    <row r="71" spans="9:16" x14ac:dyDescent="0.25">
      <c r="I71" s="12" t="s">
        <v>5</v>
      </c>
      <c r="J71" s="12" t="s">
        <v>34</v>
      </c>
      <c r="K71" s="12" t="s">
        <v>19</v>
      </c>
      <c r="L71" s="43">
        <v>861</v>
      </c>
      <c r="M71" s="44">
        <v>195</v>
      </c>
      <c r="N71" s="43">
        <f>_xlfn.XLOOKUP(Data5[[#This Row],[Product]],products7[Product],products7[Cost per unit])</f>
        <v>7.64</v>
      </c>
      <c r="O71" s="43">
        <f>Data5[[#This Row],[Units]]*Data5[[#This Row],[Cost per unit]]</f>
        <v>1489.8</v>
      </c>
      <c r="P71" s="43">
        <f>Data5[[#This Row],[Amount]]-Data5[[#This Row],[Total Cost]]</f>
        <v>-628.79999999999995</v>
      </c>
    </row>
    <row r="72" spans="9:16" x14ac:dyDescent="0.25">
      <c r="I72" s="12" t="s">
        <v>10</v>
      </c>
      <c r="J72" s="12" t="s">
        <v>38</v>
      </c>
      <c r="K72" s="12" t="s">
        <v>14</v>
      </c>
      <c r="L72" s="43">
        <v>5586</v>
      </c>
      <c r="M72" s="44">
        <v>525</v>
      </c>
      <c r="N72" s="43">
        <f>_xlfn.XLOOKUP(Data5[[#This Row],[Product]],products7[Product],products7[Cost per unit])</f>
        <v>11.7</v>
      </c>
      <c r="O72" s="43">
        <f>Data5[[#This Row],[Units]]*Data5[[#This Row],[Cost per unit]]</f>
        <v>6142.5</v>
      </c>
      <c r="P72" s="43">
        <f>Data5[[#This Row],[Amount]]-Data5[[#This Row],[Total Cost]]</f>
        <v>-556.5</v>
      </c>
    </row>
    <row r="73" spans="9:16" x14ac:dyDescent="0.25">
      <c r="I73" s="12" t="s">
        <v>7</v>
      </c>
      <c r="J73" s="12" t="s">
        <v>34</v>
      </c>
      <c r="K73" s="12" t="s">
        <v>33</v>
      </c>
      <c r="L73" s="43">
        <v>2226</v>
      </c>
      <c r="M73" s="44">
        <v>48</v>
      </c>
      <c r="N73" s="43">
        <f>_xlfn.XLOOKUP(Data5[[#This Row],[Product]],products7[Product],products7[Cost per unit])</f>
        <v>12.37</v>
      </c>
      <c r="O73" s="43">
        <f>Data5[[#This Row],[Units]]*Data5[[#This Row],[Cost per unit]]</f>
        <v>593.76</v>
      </c>
      <c r="P73" s="43">
        <f>Data5[[#This Row],[Amount]]-Data5[[#This Row],[Total Cost]]</f>
        <v>1632.24</v>
      </c>
    </row>
    <row r="74" spans="9:16" x14ac:dyDescent="0.25">
      <c r="I74" s="12" t="s">
        <v>9</v>
      </c>
      <c r="J74" s="12" t="s">
        <v>34</v>
      </c>
      <c r="K74" s="12" t="s">
        <v>28</v>
      </c>
      <c r="L74" s="43">
        <v>14329</v>
      </c>
      <c r="M74" s="44">
        <v>150</v>
      </c>
      <c r="N74" s="43">
        <f>_xlfn.XLOOKUP(Data5[[#This Row],[Product]],products7[Product],products7[Cost per unit])</f>
        <v>10.38</v>
      </c>
      <c r="O74" s="43">
        <f>Data5[[#This Row],[Units]]*Data5[[#This Row],[Cost per unit]]</f>
        <v>1557.0000000000002</v>
      </c>
      <c r="P74" s="43">
        <f>Data5[[#This Row],[Amount]]-Data5[[#This Row],[Total Cost]]</f>
        <v>12772</v>
      </c>
    </row>
    <row r="75" spans="9:16" x14ac:dyDescent="0.25">
      <c r="I75" s="12" t="s">
        <v>9</v>
      </c>
      <c r="J75" s="12" t="s">
        <v>34</v>
      </c>
      <c r="K75" s="12" t="s">
        <v>20</v>
      </c>
      <c r="L75" s="43">
        <v>8463</v>
      </c>
      <c r="M75" s="44">
        <v>492</v>
      </c>
      <c r="N75" s="43">
        <f>_xlfn.XLOOKUP(Data5[[#This Row],[Product]],products7[Product],products7[Cost per unit])</f>
        <v>10.62</v>
      </c>
      <c r="O75" s="43">
        <f>Data5[[#This Row],[Units]]*Data5[[#This Row],[Cost per unit]]</f>
        <v>5225.04</v>
      </c>
      <c r="P75" s="43">
        <f>Data5[[#This Row],[Amount]]-Data5[[#This Row],[Total Cost]]</f>
        <v>3237.96</v>
      </c>
    </row>
    <row r="76" spans="9:16" x14ac:dyDescent="0.25">
      <c r="I76" s="12" t="s">
        <v>5</v>
      </c>
      <c r="J76" s="12" t="s">
        <v>34</v>
      </c>
      <c r="K76" s="12" t="s">
        <v>29</v>
      </c>
      <c r="L76" s="43">
        <v>2891</v>
      </c>
      <c r="M76" s="44">
        <v>102</v>
      </c>
      <c r="N76" s="43">
        <f>_xlfn.XLOOKUP(Data5[[#This Row],[Product]],products7[Product],products7[Cost per unit])</f>
        <v>7.16</v>
      </c>
      <c r="O76" s="43">
        <f>Data5[[#This Row],[Units]]*Data5[[#This Row],[Cost per unit]]</f>
        <v>730.32</v>
      </c>
      <c r="P76" s="43">
        <f>Data5[[#This Row],[Amount]]-Data5[[#This Row],[Total Cost]]</f>
        <v>2160.6799999999998</v>
      </c>
    </row>
    <row r="77" spans="9:16" x14ac:dyDescent="0.25">
      <c r="I77" s="12" t="s">
        <v>3</v>
      </c>
      <c r="J77" s="12" t="s">
        <v>36</v>
      </c>
      <c r="K77" s="12" t="s">
        <v>23</v>
      </c>
      <c r="L77" s="43">
        <v>3773</v>
      </c>
      <c r="M77" s="44">
        <v>165</v>
      </c>
      <c r="N77" s="43">
        <f>_xlfn.XLOOKUP(Data5[[#This Row],[Product]],products7[Product],products7[Cost per unit])</f>
        <v>6.49</v>
      </c>
      <c r="O77" s="43">
        <f>Data5[[#This Row],[Units]]*Data5[[#This Row],[Cost per unit]]</f>
        <v>1070.8500000000001</v>
      </c>
      <c r="P77" s="43">
        <f>Data5[[#This Row],[Amount]]-Data5[[#This Row],[Total Cost]]</f>
        <v>2702.1499999999996</v>
      </c>
    </row>
    <row r="78" spans="9:16" x14ac:dyDescent="0.25">
      <c r="I78" s="12" t="s">
        <v>41</v>
      </c>
      <c r="J78" s="12" t="s">
        <v>36</v>
      </c>
      <c r="K78" s="12" t="s">
        <v>28</v>
      </c>
      <c r="L78" s="43">
        <v>854</v>
      </c>
      <c r="M78" s="44">
        <v>309</v>
      </c>
      <c r="N78" s="43">
        <f>_xlfn.XLOOKUP(Data5[[#This Row],[Product]],products7[Product],products7[Cost per unit])</f>
        <v>10.38</v>
      </c>
      <c r="O78" s="43">
        <f>Data5[[#This Row],[Units]]*Data5[[#This Row],[Cost per unit]]</f>
        <v>3207.42</v>
      </c>
      <c r="P78" s="43">
        <f>Data5[[#This Row],[Amount]]-Data5[[#This Row],[Total Cost]]</f>
        <v>-2353.42</v>
      </c>
    </row>
    <row r="79" spans="9:16" x14ac:dyDescent="0.25">
      <c r="I79" s="12" t="s">
        <v>6</v>
      </c>
      <c r="J79" s="12" t="s">
        <v>36</v>
      </c>
      <c r="K79" s="12" t="s">
        <v>17</v>
      </c>
      <c r="L79" s="43">
        <v>4970</v>
      </c>
      <c r="M79" s="44">
        <v>156</v>
      </c>
      <c r="N79" s="43">
        <f>_xlfn.XLOOKUP(Data5[[#This Row],[Product]],products7[Product],products7[Cost per unit])</f>
        <v>3.11</v>
      </c>
      <c r="O79" s="43">
        <f>Data5[[#This Row],[Units]]*Data5[[#This Row],[Cost per unit]]</f>
        <v>485.15999999999997</v>
      </c>
      <c r="P79" s="43">
        <f>Data5[[#This Row],[Amount]]-Data5[[#This Row],[Total Cost]]</f>
        <v>4484.84</v>
      </c>
    </row>
    <row r="80" spans="9:16" x14ac:dyDescent="0.25">
      <c r="I80" s="12" t="s">
        <v>9</v>
      </c>
      <c r="J80" s="12" t="s">
        <v>35</v>
      </c>
      <c r="K80" s="12" t="s">
        <v>26</v>
      </c>
      <c r="L80" s="43">
        <v>98</v>
      </c>
      <c r="M80" s="44">
        <v>159</v>
      </c>
      <c r="N80" s="43">
        <f>_xlfn.XLOOKUP(Data5[[#This Row],[Product]],products7[Product],products7[Cost per unit])</f>
        <v>5.6</v>
      </c>
      <c r="O80" s="43">
        <f>Data5[[#This Row],[Units]]*Data5[[#This Row],[Cost per unit]]</f>
        <v>890.4</v>
      </c>
      <c r="P80" s="43">
        <f>Data5[[#This Row],[Amount]]-Data5[[#This Row],[Total Cost]]</f>
        <v>-792.4</v>
      </c>
    </row>
    <row r="81" spans="9:16" x14ac:dyDescent="0.25">
      <c r="I81" s="12" t="s">
        <v>5</v>
      </c>
      <c r="J81" s="12" t="s">
        <v>35</v>
      </c>
      <c r="K81" s="12" t="s">
        <v>15</v>
      </c>
      <c r="L81" s="43">
        <v>13391</v>
      </c>
      <c r="M81" s="44">
        <v>201</v>
      </c>
      <c r="N81" s="43">
        <f>_xlfn.XLOOKUP(Data5[[#This Row],[Product]],products7[Product],products7[Cost per unit])</f>
        <v>11.73</v>
      </c>
      <c r="O81" s="43">
        <f>Data5[[#This Row],[Units]]*Data5[[#This Row],[Cost per unit]]</f>
        <v>2357.73</v>
      </c>
      <c r="P81" s="43">
        <f>Data5[[#This Row],[Amount]]-Data5[[#This Row],[Total Cost]]</f>
        <v>11033.27</v>
      </c>
    </row>
    <row r="82" spans="9:16" x14ac:dyDescent="0.25">
      <c r="I82" s="12" t="s">
        <v>8</v>
      </c>
      <c r="J82" s="12" t="s">
        <v>39</v>
      </c>
      <c r="K82" s="12" t="s">
        <v>31</v>
      </c>
      <c r="L82" s="43">
        <v>8890</v>
      </c>
      <c r="M82" s="44">
        <v>210</v>
      </c>
      <c r="N82" s="43">
        <f>_xlfn.XLOOKUP(Data5[[#This Row],[Product]],products7[Product],products7[Cost per unit])</f>
        <v>5.79</v>
      </c>
      <c r="O82" s="43">
        <f>Data5[[#This Row],[Units]]*Data5[[#This Row],[Cost per unit]]</f>
        <v>1215.9000000000001</v>
      </c>
      <c r="P82" s="43">
        <f>Data5[[#This Row],[Amount]]-Data5[[#This Row],[Total Cost]]</f>
        <v>7674.1</v>
      </c>
    </row>
    <row r="83" spans="9:16" x14ac:dyDescent="0.25">
      <c r="I83" s="12" t="s">
        <v>2</v>
      </c>
      <c r="J83" s="12" t="s">
        <v>38</v>
      </c>
      <c r="K83" s="12" t="s">
        <v>13</v>
      </c>
      <c r="L83" s="43">
        <v>56</v>
      </c>
      <c r="M83" s="44">
        <v>51</v>
      </c>
      <c r="N83" s="43">
        <f>_xlfn.XLOOKUP(Data5[[#This Row],[Product]],products7[Product],products7[Cost per unit])</f>
        <v>9.33</v>
      </c>
      <c r="O83" s="43">
        <f>Data5[[#This Row],[Units]]*Data5[[#This Row],[Cost per unit]]</f>
        <v>475.83</v>
      </c>
      <c r="P83" s="43">
        <f>Data5[[#This Row],[Amount]]-Data5[[#This Row],[Total Cost]]</f>
        <v>-419.83</v>
      </c>
    </row>
    <row r="84" spans="9:16" x14ac:dyDescent="0.25">
      <c r="I84" s="12" t="s">
        <v>3</v>
      </c>
      <c r="J84" s="12" t="s">
        <v>36</v>
      </c>
      <c r="K84" s="12" t="s">
        <v>25</v>
      </c>
      <c r="L84" s="43">
        <v>3339</v>
      </c>
      <c r="M84" s="44">
        <v>39</v>
      </c>
      <c r="N84" s="43">
        <f>_xlfn.XLOOKUP(Data5[[#This Row],[Product]],products7[Product],products7[Cost per unit])</f>
        <v>13.15</v>
      </c>
      <c r="O84" s="43">
        <f>Data5[[#This Row],[Units]]*Data5[[#This Row],[Cost per unit]]</f>
        <v>512.85</v>
      </c>
      <c r="P84" s="43">
        <f>Data5[[#This Row],[Amount]]-Data5[[#This Row],[Total Cost]]</f>
        <v>2826.15</v>
      </c>
    </row>
    <row r="85" spans="9:16" x14ac:dyDescent="0.25">
      <c r="I85" s="12" t="s">
        <v>10</v>
      </c>
      <c r="J85" s="12" t="s">
        <v>35</v>
      </c>
      <c r="K85" s="12" t="s">
        <v>18</v>
      </c>
      <c r="L85" s="43">
        <v>3808</v>
      </c>
      <c r="M85" s="44">
        <v>279</v>
      </c>
      <c r="N85" s="43">
        <f>_xlfn.XLOOKUP(Data5[[#This Row],[Product]],products7[Product],products7[Cost per unit])</f>
        <v>6.47</v>
      </c>
      <c r="O85" s="43">
        <f>Data5[[#This Row],[Units]]*Data5[[#This Row],[Cost per unit]]</f>
        <v>1805.1299999999999</v>
      </c>
      <c r="P85" s="43">
        <f>Data5[[#This Row],[Amount]]-Data5[[#This Row],[Total Cost]]</f>
        <v>2002.8700000000001</v>
      </c>
    </row>
    <row r="86" spans="9:16" x14ac:dyDescent="0.25">
      <c r="I86" s="12" t="s">
        <v>10</v>
      </c>
      <c r="J86" s="12" t="s">
        <v>38</v>
      </c>
      <c r="K86" s="12" t="s">
        <v>13</v>
      </c>
      <c r="L86" s="43">
        <v>63</v>
      </c>
      <c r="M86" s="44">
        <v>123</v>
      </c>
      <c r="N86" s="43">
        <f>_xlfn.XLOOKUP(Data5[[#This Row],[Product]],products7[Product],products7[Cost per unit])</f>
        <v>9.33</v>
      </c>
      <c r="O86" s="43">
        <f>Data5[[#This Row],[Units]]*Data5[[#This Row],[Cost per unit]]</f>
        <v>1147.5899999999999</v>
      </c>
      <c r="P86" s="43">
        <f>Data5[[#This Row],[Amount]]-Data5[[#This Row],[Total Cost]]</f>
        <v>-1084.5899999999999</v>
      </c>
    </row>
    <row r="87" spans="9:16" x14ac:dyDescent="0.25">
      <c r="I87" s="12" t="s">
        <v>2</v>
      </c>
      <c r="J87" s="12" t="s">
        <v>39</v>
      </c>
      <c r="K87" s="12" t="s">
        <v>27</v>
      </c>
      <c r="L87" s="43">
        <v>7812</v>
      </c>
      <c r="M87" s="44">
        <v>81</v>
      </c>
      <c r="N87" s="43">
        <f>_xlfn.XLOOKUP(Data5[[#This Row],[Product]],products7[Product],products7[Cost per unit])</f>
        <v>16.73</v>
      </c>
      <c r="O87" s="43">
        <f>Data5[[#This Row],[Units]]*Data5[[#This Row],[Cost per unit]]</f>
        <v>1355.13</v>
      </c>
      <c r="P87" s="43">
        <f>Data5[[#This Row],[Amount]]-Data5[[#This Row],[Total Cost]]</f>
        <v>6456.87</v>
      </c>
    </row>
    <row r="88" spans="9:16" x14ac:dyDescent="0.25">
      <c r="I88" s="12" t="s">
        <v>40</v>
      </c>
      <c r="J88" s="12" t="s">
        <v>37</v>
      </c>
      <c r="K88" s="12" t="s">
        <v>19</v>
      </c>
      <c r="L88" s="43">
        <v>7693</v>
      </c>
      <c r="M88" s="44">
        <v>21</v>
      </c>
      <c r="N88" s="43">
        <f>_xlfn.XLOOKUP(Data5[[#This Row],[Product]],products7[Product],products7[Cost per unit])</f>
        <v>7.64</v>
      </c>
      <c r="O88" s="43">
        <f>Data5[[#This Row],[Units]]*Data5[[#This Row],[Cost per unit]]</f>
        <v>160.44</v>
      </c>
      <c r="P88" s="43">
        <f>Data5[[#This Row],[Amount]]-Data5[[#This Row],[Total Cost]]</f>
        <v>7532.56</v>
      </c>
    </row>
    <row r="89" spans="9:16" x14ac:dyDescent="0.25">
      <c r="I89" s="12" t="s">
        <v>3</v>
      </c>
      <c r="J89" s="12" t="s">
        <v>36</v>
      </c>
      <c r="K89" s="12" t="s">
        <v>28</v>
      </c>
      <c r="L89" s="43">
        <v>973</v>
      </c>
      <c r="M89" s="44">
        <v>162</v>
      </c>
      <c r="N89" s="43">
        <f>_xlfn.XLOOKUP(Data5[[#This Row],[Product]],products7[Product],products7[Cost per unit])</f>
        <v>10.38</v>
      </c>
      <c r="O89" s="43">
        <f>Data5[[#This Row],[Units]]*Data5[[#This Row],[Cost per unit]]</f>
        <v>1681.5600000000002</v>
      </c>
      <c r="P89" s="43">
        <f>Data5[[#This Row],[Amount]]-Data5[[#This Row],[Total Cost]]</f>
        <v>-708.56000000000017</v>
      </c>
    </row>
    <row r="90" spans="9:16" x14ac:dyDescent="0.25">
      <c r="I90" s="12" t="s">
        <v>10</v>
      </c>
      <c r="J90" s="12" t="s">
        <v>35</v>
      </c>
      <c r="K90" s="12" t="s">
        <v>21</v>
      </c>
      <c r="L90" s="43">
        <v>567</v>
      </c>
      <c r="M90" s="44">
        <v>228</v>
      </c>
      <c r="N90" s="43">
        <f>_xlfn.XLOOKUP(Data5[[#This Row],[Product]],products7[Product],products7[Cost per unit])</f>
        <v>9</v>
      </c>
      <c r="O90" s="43">
        <f>Data5[[#This Row],[Units]]*Data5[[#This Row],[Cost per unit]]</f>
        <v>2052</v>
      </c>
      <c r="P90" s="43">
        <f>Data5[[#This Row],[Amount]]-Data5[[#This Row],[Total Cost]]</f>
        <v>-1485</v>
      </c>
    </row>
    <row r="91" spans="9:16" x14ac:dyDescent="0.25">
      <c r="I91" s="12" t="s">
        <v>10</v>
      </c>
      <c r="J91" s="12" t="s">
        <v>36</v>
      </c>
      <c r="K91" s="12" t="s">
        <v>29</v>
      </c>
      <c r="L91" s="43">
        <v>2471</v>
      </c>
      <c r="M91" s="44">
        <v>342</v>
      </c>
      <c r="N91" s="43">
        <f>_xlfn.XLOOKUP(Data5[[#This Row],[Product]],products7[Product],products7[Cost per unit])</f>
        <v>7.16</v>
      </c>
      <c r="O91" s="43">
        <f>Data5[[#This Row],[Units]]*Data5[[#This Row],[Cost per unit]]</f>
        <v>2448.7200000000003</v>
      </c>
      <c r="P91" s="43">
        <f>Data5[[#This Row],[Amount]]-Data5[[#This Row],[Total Cost]]</f>
        <v>22.279999999999745</v>
      </c>
    </row>
    <row r="92" spans="9:16" x14ac:dyDescent="0.25">
      <c r="I92" s="12" t="s">
        <v>5</v>
      </c>
      <c r="J92" s="12" t="s">
        <v>38</v>
      </c>
      <c r="K92" s="12" t="s">
        <v>13</v>
      </c>
      <c r="L92" s="43">
        <v>7189</v>
      </c>
      <c r="M92" s="44">
        <v>54</v>
      </c>
      <c r="N92" s="43">
        <f>_xlfn.XLOOKUP(Data5[[#This Row],[Product]],products7[Product],products7[Cost per unit])</f>
        <v>9.33</v>
      </c>
      <c r="O92" s="43">
        <f>Data5[[#This Row],[Units]]*Data5[[#This Row],[Cost per unit]]</f>
        <v>503.82</v>
      </c>
      <c r="P92" s="43">
        <f>Data5[[#This Row],[Amount]]-Data5[[#This Row],[Total Cost]]</f>
        <v>6685.18</v>
      </c>
    </row>
    <row r="93" spans="9:16" x14ac:dyDescent="0.25">
      <c r="I93" s="12" t="s">
        <v>41</v>
      </c>
      <c r="J93" s="12" t="s">
        <v>35</v>
      </c>
      <c r="K93" s="12" t="s">
        <v>28</v>
      </c>
      <c r="L93" s="43">
        <v>7455</v>
      </c>
      <c r="M93" s="44">
        <v>216</v>
      </c>
      <c r="N93" s="43">
        <f>_xlfn.XLOOKUP(Data5[[#This Row],[Product]],products7[Product],products7[Cost per unit])</f>
        <v>10.38</v>
      </c>
      <c r="O93" s="43">
        <f>Data5[[#This Row],[Units]]*Data5[[#This Row],[Cost per unit]]</f>
        <v>2242.0800000000004</v>
      </c>
      <c r="P93" s="43">
        <f>Data5[[#This Row],[Amount]]-Data5[[#This Row],[Total Cost]]</f>
        <v>5212.92</v>
      </c>
    </row>
    <row r="94" spans="9:16" x14ac:dyDescent="0.25">
      <c r="I94" s="12" t="s">
        <v>3</v>
      </c>
      <c r="J94" s="12" t="s">
        <v>34</v>
      </c>
      <c r="K94" s="12" t="s">
        <v>26</v>
      </c>
      <c r="L94" s="43">
        <v>3108</v>
      </c>
      <c r="M94" s="44">
        <v>54</v>
      </c>
      <c r="N94" s="43">
        <f>_xlfn.XLOOKUP(Data5[[#This Row],[Product]],products7[Product],products7[Cost per unit])</f>
        <v>5.6</v>
      </c>
      <c r="O94" s="43">
        <f>Data5[[#This Row],[Units]]*Data5[[#This Row],[Cost per unit]]</f>
        <v>302.39999999999998</v>
      </c>
      <c r="P94" s="43">
        <f>Data5[[#This Row],[Amount]]-Data5[[#This Row],[Total Cost]]</f>
        <v>2805.6</v>
      </c>
    </row>
    <row r="95" spans="9:16" x14ac:dyDescent="0.25">
      <c r="I95" s="12" t="s">
        <v>6</v>
      </c>
      <c r="J95" s="12" t="s">
        <v>38</v>
      </c>
      <c r="K95" s="12" t="s">
        <v>25</v>
      </c>
      <c r="L95" s="43">
        <v>469</v>
      </c>
      <c r="M95" s="44">
        <v>75</v>
      </c>
      <c r="N95" s="43">
        <f>_xlfn.XLOOKUP(Data5[[#This Row],[Product]],products7[Product],products7[Cost per unit])</f>
        <v>13.15</v>
      </c>
      <c r="O95" s="43">
        <f>Data5[[#This Row],[Units]]*Data5[[#This Row],[Cost per unit]]</f>
        <v>986.25</v>
      </c>
      <c r="P95" s="43">
        <f>Data5[[#This Row],[Amount]]-Data5[[#This Row],[Total Cost]]</f>
        <v>-517.25</v>
      </c>
    </row>
    <row r="96" spans="9:16" x14ac:dyDescent="0.25">
      <c r="I96" s="12" t="s">
        <v>9</v>
      </c>
      <c r="J96" s="12" t="s">
        <v>37</v>
      </c>
      <c r="K96" s="12" t="s">
        <v>23</v>
      </c>
      <c r="L96" s="43">
        <v>2737</v>
      </c>
      <c r="M96" s="44">
        <v>93</v>
      </c>
      <c r="N96" s="43">
        <f>_xlfn.XLOOKUP(Data5[[#This Row],[Product]],products7[Product],products7[Cost per unit])</f>
        <v>6.49</v>
      </c>
      <c r="O96" s="43">
        <f>Data5[[#This Row],[Units]]*Data5[[#This Row],[Cost per unit]]</f>
        <v>603.57000000000005</v>
      </c>
      <c r="P96" s="43">
        <f>Data5[[#This Row],[Amount]]-Data5[[#This Row],[Total Cost]]</f>
        <v>2133.4299999999998</v>
      </c>
    </row>
    <row r="97" spans="9:16" x14ac:dyDescent="0.25">
      <c r="I97" s="12" t="s">
        <v>9</v>
      </c>
      <c r="J97" s="12" t="s">
        <v>37</v>
      </c>
      <c r="K97" s="12" t="s">
        <v>25</v>
      </c>
      <c r="L97" s="43">
        <v>4305</v>
      </c>
      <c r="M97" s="44">
        <v>156</v>
      </c>
      <c r="N97" s="43">
        <f>_xlfn.XLOOKUP(Data5[[#This Row],[Product]],products7[Product],products7[Cost per unit])</f>
        <v>13.15</v>
      </c>
      <c r="O97" s="43">
        <f>Data5[[#This Row],[Units]]*Data5[[#This Row],[Cost per unit]]</f>
        <v>2051.4</v>
      </c>
      <c r="P97" s="43">
        <f>Data5[[#This Row],[Amount]]-Data5[[#This Row],[Total Cost]]</f>
        <v>2253.6</v>
      </c>
    </row>
    <row r="98" spans="9:16" x14ac:dyDescent="0.25">
      <c r="I98" s="12" t="s">
        <v>9</v>
      </c>
      <c r="J98" s="12" t="s">
        <v>38</v>
      </c>
      <c r="K98" s="12" t="s">
        <v>17</v>
      </c>
      <c r="L98" s="43">
        <v>2408</v>
      </c>
      <c r="M98" s="44">
        <v>9</v>
      </c>
      <c r="N98" s="43">
        <f>_xlfn.XLOOKUP(Data5[[#This Row],[Product]],products7[Product],products7[Cost per unit])</f>
        <v>3.11</v>
      </c>
      <c r="O98" s="43">
        <f>Data5[[#This Row],[Units]]*Data5[[#This Row],[Cost per unit]]</f>
        <v>27.99</v>
      </c>
      <c r="P98" s="43">
        <f>Data5[[#This Row],[Amount]]-Data5[[#This Row],[Total Cost]]</f>
        <v>2380.0100000000002</v>
      </c>
    </row>
    <row r="99" spans="9:16" x14ac:dyDescent="0.25">
      <c r="I99" s="12" t="s">
        <v>3</v>
      </c>
      <c r="J99" s="12" t="s">
        <v>36</v>
      </c>
      <c r="K99" s="12" t="s">
        <v>19</v>
      </c>
      <c r="L99" s="43">
        <v>1281</v>
      </c>
      <c r="M99" s="44">
        <v>18</v>
      </c>
      <c r="N99" s="43">
        <f>_xlfn.XLOOKUP(Data5[[#This Row],[Product]],products7[Product],products7[Cost per unit])</f>
        <v>7.64</v>
      </c>
      <c r="O99" s="43">
        <f>Data5[[#This Row],[Units]]*Data5[[#This Row],[Cost per unit]]</f>
        <v>137.51999999999998</v>
      </c>
      <c r="P99" s="43">
        <f>Data5[[#This Row],[Amount]]-Data5[[#This Row],[Total Cost]]</f>
        <v>1143.48</v>
      </c>
    </row>
    <row r="100" spans="9:16" x14ac:dyDescent="0.25">
      <c r="I100" s="12" t="s">
        <v>40</v>
      </c>
      <c r="J100" s="12" t="s">
        <v>35</v>
      </c>
      <c r="K100" s="12" t="s">
        <v>32</v>
      </c>
      <c r="L100" s="43">
        <v>12348</v>
      </c>
      <c r="M100" s="44">
        <v>234</v>
      </c>
      <c r="N100" s="43">
        <f>_xlfn.XLOOKUP(Data5[[#This Row],[Product]],products7[Product],products7[Cost per unit])</f>
        <v>8.65</v>
      </c>
      <c r="O100" s="43">
        <f>Data5[[#This Row],[Units]]*Data5[[#This Row],[Cost per unit]]</f>
        <v>2024.1000000000001</v>
      </c>
      <c r="P100" s="43">
        <f>Data5[[#This Row],[Amount]]-Data5[[#This Row],[Total Cost]]</f>
        <v>10323.9</v>
      </c>
    </row>
    <row r="101" spans="9:16" x14ac:dyDescent="0.25">
      <c r="I101" s="12" t="s">
        <v>3</v>
      </c>
      <c r="J101" s="12" t="s">
        <v>34</v>
      </c>
      <c r="K101" s="12" t="s">
        <v>28</v>
      </c>
      <c r="L101" s="43">
        <v>3689</v>
      </c>
      <c r="M101" s="44">
        <v>312</v>
      </c>
      <c r="N101" s="43">
        <f>_xlfn.XLOOKUP(Data5[[#This Row],[Product]],products7[Product],products7[Cost per unit])</f>
        <v>10.38</v>
      </c>
      <c r="O101" s="43">
        <f>Data5[[#This Row],[Units]]*Data5[[#This Row],[Cost per unit]]</f>
        <v>3238.5600000000004</v>
      </c>
      <c r="P101" s="43">
        <f>Data5[[#This Row],[Amount]]-Data5[[#This Row],[Total Cost]]</f>
        <v>450.4399999999996</v>
      </c>
    </row>
    <row r="102" spans="9:16" x14ac:dyDescent="0.25">
      <c r="I102" s="12" t="s">
        <v>7</v>
      </c>
      <c r="J102" s="12" t="s">
        <v>36</v>
      </c>
      <c r="K102" s="12" t="s">
        <v>19</v>
      </c>
      <c r="L102" s="43">
        <v>2870</v>
      </c>
      <c r="M102" s="44">
        <v>300</v>
      </c>
      <c r="N102" s="43">
        <f>_xlfn.XLOOKUP(Data5[[#This Row],[Product]],products7[Product],products7[Cost per unit])</f>
        <v>7.64</v>
      </c>
      <c r="O102" s="43">
        <f>Data5[[#This Row],[Units]]*Data5[[#This Row],[Cost per unit]]</f>
        <v>2292</v>
      </c>
      <c r="P102" s="43">
        <f>Data5[[#This Row],[Amount]]-Data5[[#This Row],[Total Cost]]</f>
        <v>578</v>
      </c>
    </row>
    <row r="103" spans="9:16" x14ac:dyDescent="0.25">
      <c r="I103" s="12" t="s">
        <v>2</v>
      </c>
      <c r="J103" s="12" t="s">
        <v>36</v>
      </c>
      <c r="K103" s="12" t="s">
        <v>27</v>
      </c>
      <c r="L103" s="43">
        <v>798</v>
      </c>
      <c r="M103" s="44">
        <v>519</v>
      </c>
      <c r="N103" s="43">
        <f>_xlfn.XLOOKUP(Data5[[#This Row],[Product]],products7[Product],products7[Cost per unit])</f>
        <v>16.73</v>
      </c>
      <c r="O103" s="43">
        <f>Data5[[#This Row],[Units]]*Data5[[#This Row],[Cost per unit]]</f>
        <v>8682.8700000000008</v>
      </c>
      <c r="P103" s="43">
        <f>Data5[[#This Row],[Amount]]-Data5[[#This Row],[Total Cost]]</f>
        <v>-7884.8700000000008</v>
      </c>
    </row>
    <row r="104" spans="9:16" x14ac:dyDescent="0.25">
      <c r="I104" s="12" t="s">
        <v>41</v>
      </c>
      <c r="J104" s="12" t="s">
        <v>37</v>
      </c>
      <c r="K104" s="12" t="s">
        <v>21</v>
      </c>
      <c r="L104" s="43">
        <v>2933</v>
      </c>
      <c r="M104" s="44">
        <v>9</v>
      </c>
      <c r="N104" s="43">
        <f>_xlfn.XLOOKUP(Data5[[#This Row],[Product]],products7[Product],products7[Cost per unit])</f>
        <v>9</v>
      </c>
      <c r="O104" s="43">
        <f>Data5[[#This Row],[Units]]*Data5[[#This Row],[Cost per unit]]</f>
        <v>81</v>
      </c>
      <c r="P104" s="43">
        <f>Data5[[#This Row],[Amount]]-Data5[[#This Row],[Total Cost]]</f>
        <v>2852</v>
      </c>
    </row>
    <row r="105" spans="9:16" x14ac:dyDescent="0.25">
      <c r="I105" s="12" t="s">
        <v>5</v>
      </c>
      <c r="J105" s="12" t="s">
        <v>35</v>
      </c>
      <c r="K105" s="12" t="s">
        <v>4</v>
      </c>
      <c r="L105" s="43">
        <v>2744</v>
      </c>
      <c r="M105" s="44">
        <v>9</v>
      </c>
      <c r="N105" s="43">
        <f>_xlfn.XLOOKUP(Data5[[#This Row],[Product]],products7[Product],products7[Cost per unit])</f>
        <v>11.88</v>
      </c>
      <c r="O105" s="43">
        <f>Data5[[#This Row],[Units]]*Data5[[#This Row],[Cost per unit]]</f>
        <v>106.92</v>
      </c>
      <c r="P105" s="43">
        <f>Data5[[#This Row],[Amount]]-Data5[[#This Row],[Total Cost]]</f>
        <v>2637.08</v>
      </c>
    </row>
    <row r="106" spans="9:16" x14ac:dyDescent="0.25">
      <c r="I106" s="12" t="s">
        <v>40</v>
      </c>
      <c r="J106" s="12" t="s">
        <v>36</v>
      </c>
      <c r="K106" s="12" t="s">
        <v>33</v>
      </c>
      <c r="L106" s="43">
        <v>9772</v>
      </c>
      <c r="M106" s="44">
        <v>90</v>
      </c>
      <c r="N106" s="43">
        <f>_xlfn.XLOOKUP(Data5[[#This Row],[Product]],products7[Product],products7[Cost per unit])</f>
        <v>12.37</v>
      </c>
      <c r="O106" s="43">
        <f>Data5[[#This Row],[Units]]*Data5[[#This Row],[Cost per unit]]</f>
        <v>1113.3</v>
      </c>
      <c r="P106" s="43">
        <f>Data5[[#This Row],[Amount]]-Data5[[#This Row],[Total Cost]]</f>
        <v>8658.7000000000007</v>
      </c>
    </row>
    <row r="107" spans="9:16" x14ac:dyDescent="0.25">
      <c r="I107" s="12" t="s">
        <v>7</v>
      </c>
      <c r="J107" s="12" t="s">
        <v>34</v>
      </c>
      <c r="K107" s="12" t="s">
        <v>25</v>
      </c>
      <c r="L107" s="43">
        <v>1568</v>
      </c>
      <c r="M107" s="44">
        <v>96</v>
      </c>
      <c r="N107" s="43">
        <f>_xlfn.XLOOKUP(Data5[[#This Row],[Product]],products7[Product],products7[Cost per unit])</f>
        <v>13.15</v>
      </c>
      <c r="O107" s="43">
        <f>Data5[[#This Row],[Units]]*Data5[[#This Row],[Cost per unit]]</f>
        <v>1262.4000000000001</v>
      </c>
      <c r="P107" s="43">
        <f>Data5[[#This Row],[Amount]]-Data5[[#This Row],[Total Cost]]</f>
        <v>305.59999999999991</v>
      </c>
    </row>
    <row r="108" spans="9:16" x14ac:dyDescent="0.25">
      <c r="I108" s="12" t="s">
        <v>2</v>
      </c>
      <c r="J108" s="12" t="s">
        <v>36</v>
      </c>
      <c r="K108" s="12" t="s">
        <v>16</v>
      </c>
      <c r="L108" s="43">
        <v>11417</v>
      </c>
      <c r="M108" s="44">
        <v>21</v>
      </c>
      <c r="N108" s="43">
        <f>_xlfn.XLOOKUP(Data5[[#This Row],[Product]],products7[Product],products7[Cost per unit])</f>
        <v>8.7899999999999991</v>
      </c>
      <c r="O108" s="43">
        <f>Data5[[#This Row],[Units]]*Data5[[#This Row],[Cost per unit]]</f>
        <v>184.58999999999997</v>
      </c>
      <c r="P108" s="43">
        <f>Data5[[#This Row],[Amount]]-Data5[[#This Row],[Total Cost]]</f>
        <v>11232.41</v>
      </c>
    </row>
    <row r="109" spans="9:16" x14ac:dyDescent="0.25">
      <c r="I109" s="12" t="s">
        <v>40</v>
      </c>
      <c r="J109" s="12" t="s">
        <v>34</v>
      </c>
      <c r="K109" s="12" t="s">
        <v>26</v>
      </c>
      <c r="L109" s="43">
        <v>6748</v>
      </c>
      <c r="M109" s="44">
        <v>48</v>
      </c>
      <c r="N109" s="43">
        <f>_xlfn.XLOOKUP(Data5[[#This Row],[Product]],products7[Product],products7[Cost per unit])</f>
        <v>5.6</v>
      </c>
      <c r="O109" s="43">
        <f>Data5[[#This Row],[Units]]*Data5[[#This Row],[Cost per unit]]</f>
        <v>268.79999999999995</v>
      </c>
      <c r="P109" s="43">
        <f>Data5[[#This Row],[Amount]]-Data5[[#This Row],[Total Cost]]</f>
        <v>6479.2</v>
      </c>
    </row>
    <row r="110" spans="9:16" x14ac:dyDescent="0.25">
      <c r="I110" s="12" t="s">
        <v>10</v>
      </c>
      <c r="J110" s="12" t="s">
        <v>36</v>
      </c>
      <c r="K110" s="12" t="s">
        <v>27</v>
      </c>
      <c r="L110" s="43">
        <v>1407</v>
      </c>
      <c r="M110" s="44">
        <v>72</v>
      </c>
      <c r="N110" s="43">
        <f>_xlfn.XLOOKUP(Data5[[#This Row],[Product]],products7[Product],products7[Cost per unit])</f>
        <v>16.73</v>
      </c>
      <c r="O110" s="43">
        <f>Data5[[#This Row],[Units]]*Data5[[#This Row],[Cost per unit]]</f>
        <v>1204.56</v>
      </c>
      <c r="P110" s="43">
        <f>Data5[[#This Row],[Amount]]-Data5[[#This Row],[Total Cost]]</f>
        <v>202.44000000000005</v>
      </c>
    </row>
    <row r="111" spans="9:16" x14ac:dyDescent="0.25">
      <c r="I111" s="12" t="s">
        <v>8</v>
      </c>
      <c r="J111" s="12" t="s">
        <v>35</v>
      </c>
      <c r="K111" s="12" t="s">
        <v>29</v>
      </c>
      <c r="L111" s="43">
        <v>2023</v>
      </c>
      <c r="M111" s="44">
        <v>168</v>
      </c>
      <c r="N111" s="43">
        <f>_xlfn.XLOOKUP(Data5[[#This Row],[Product]],products7[Product],products7[Cost per unit])</f>
        <v>7.16</v>
      </c>
      <c r="O111" s="43">
        <f>Data5[[#This Row],[Units]]*Data5[[#This Row],[Cost per unit]]</f>
        <v>1202.8800000000001</v>
      </c>
      <c r="P111" s="43">
        <f>Data5[[#This Row],[Amount]]-Data5[[#This Row],[Total Cost]]</f>
        <v>820.11999999999989</v>
      </c>
    </row>
    <row r="112" spans="9:16" x14ac:dyDescent="0.25">
      <c r="I112" s="12" t="s">
        <v>5</v>
      </c>
      <c r="J112" s="12" t="s">
        <v>39</v>
      </c>
      <c r="K112" s="12" t="s">
        <v>26</v>
      </c>
      <c r="L112" s="43">
        <v>5236</v>
      </c>
      <c r="M112" s="44">
        <v>51</v>
      </c>
      <c r="N112" s="43">
        <f>_xlfn.XLOOKUP(Data5[[#This Row],[Product]],products7[Product],products7[Cost per unit])</f>
        <v>5.6</v>
      </c>
      <c r="O112" s="43">
        <f>Data5[[#This Row],[Units]]*Data5[[#This Row],[Cost per unit]]</f>
        <v>285.59999999999997</v>
      </c>
      <c r="P112" s="43">
        <f>Data5[[#This Row],[Amount]]-Data5[[#This Row],[Total Cost]]</f>
        <v>4950.3999999999996</v>
      </c>
    </row>
    <row r="113" spans="9:16" x14ac:dyDescent="0.25">
      <c r="I113" s="12" t="s">
        <v>41</v>
      </c>
      <c r="J113" s="12" t="s">
        <v>36</v>
      </c>
      <c r="K113" s="12" t="s">
        <v>19</v>
      </c>
      <c r="L113" s="43">
        <v>1925</v>
      </c>
      <c r="M113" s="44">
        <v>192</v>
      </c>
      <c r="N113" s="43">
        <f>_xlfn.XLOOKUP(Data5[[#This Row],[Product]],products7[Product],products7[Cost per unit])</f>
        <v>7.64</v>
      </c>
      <c r="O113" s="43">
        <f>Data5[[#This Row],[Units]]*Data5[[#This Row],[Cost per unit]]</f>
        <v>1466.8799999999999</v>
      </c>
      <c r="P113" s="43">
        <f>Data5[[#This Row],[Amount]]-Data5[[#This Row],[Total Cost]]</f>
        <v>458.12000000000012</v>
      </c>
    </row>
    <row r="114" spans="9:16" x14ac:dyDescent="0.25">
      <c r="I114" s="12" t="s">
        <v>7</v>
      </c>
      <c r="J114" s="12" t="s">
        <v>37</v>
      </c>
      <c r="K114" s="12" t="s">
        <v>14</v>
      </c>
      <c r="L114" s="43">
        <v>6608</v>
      </c>
      <c r="M114" s="44">
        <v>225</v>
      </c>
      <c r="N114" s="43">
        <f>_xlfn.XLOOKUP(Data5[[#This Row],[Product]],products7[Product],products7[Cost per unit])</f>
        <v>11.7</v>
      </c>
      <c r="O114" s="43">
        <f>Data5[[#This Row],[Units]]*Data5[[#This Row],[Cost per unit]]</f>
        <v>2632.5</v>
      </c>
      <c r="P114" s="43">
        <f>Data5[[#This Row],[Amount]]-Data5[[#This Row],[Total Cost]]</f>
        <v>3975.5</v>
      </c>
    </row>
    <row r="115" spans="9:16" x14ac:dyDescent="0.25">
      <c r="I115" s="12" t="s">
        <v>6</v>
      </c>
      <c r="J115" s="12" t="s">
        <v>34</v>
      </c>
      <c r="K115" s="12" t="s">
        <v>26</v>
      </c>
      <c r="L115" s="43">
        <v>8008</v>
      </c>
      <c r="M115" s="44">
        <v>456</v>
      </c>
      <c r="N115" s="43">
        <f>_xlfn.XLOOKUP(Data5[[#This Row],[Product]],products7[Product],products7[Cost per unit])</f>
        <v>5.6</v>
      </c>
      <c r="O115" s="43">
        <f>Data5[[#This Row],[Units]]*Data5[[#This Row],[Cost per unit]]</f>
        <v>2553.6</v>
      </c>
      <c r="P115" s="43">
        <f>Data5[[#This Row],[Amount]]-Data5[[#This Row],[Total Cost]]</f>
        <v>5454.4</v>
      </c>
    </row>
    <row r="116" spans="9:16" x14ac:dyDescent="0.25">
      <c r="I116" s="12" t="s">
        <v>10</v>
      </c>
      <c r="J116" s="12" t="s">
        <v>34</v>
      </c>
      <c r="K116" s="12" t="s">
        <v>25</v>
      </c>
      <c r="L116" s="43">
        <v>1428</v>
      </c>
      <c r="M116" s="44">
        <v>93</v>
      </c>
      <c r="N116" s="43">
        <f>_xlfn.XLOOKUP(Data5[[#This Row],[Product]],products7[Product],products7[Cost per unit])</f>
        <v>13.15</v>
      </c>
      <c r="O116" s="43">
        <f>Data5[[#This Row],[Units]]*Data5[[#This Row],[Cost per unit]]</f>
        <v>1222.95</v>
      </c>
      <c r="P116" s="43">
        <f>Data5[[#This Row],[Amount]]-Data5[[#This Row],[Total Cost]]</f>
        <v>205.04999999999995</v>
      </c>
    </row>
    <row r="117" spans="9:16" x14ac:dyDescent="0.25">
      <c r="I117" s="12" t="s">
        <v>6</v>
      </c>
      <c r="J117" s="12" t="s">
        <v>34</v>
      </c>
      <c r="K117" s="12" t="s">
        <v>4</v>
      </c>
      <c r="L117" s="43">
        <v>525</v>
      </c>
      <c r="M117" s="44">
        <v>48</v>
      </c>
      <c r="N117" s="43">
        <f>_xlfn.XLOOKUP(Data5[[#This Row],[Product]],products7[Product],products7[Cost per unit])</f>
        <v>11.88</v>
      </c>
      <c r="O117" s="43">
        <f>Data5[[#This Row],[Units]]*Data5[[#This Row],[Cost per unit]]</f>
        <v>570.24</v>
      </c>
      <c r="P117" s="43">
        <f>Data5[[#This Row],[Amount]]-Data5[[#This Row],[Total Cost]]</f>
        <v>-45.240000000000009</v>
      </c>
    </row>
    <row r="118" spans="9:16" x14ac:dyDescent="0.25">
      <c r="I118" s="12" t="s">
        <v>6</v>
      </c>
      <c r="J118" s="12" t="s">
        <v>37</v>
      </c>
      <c r="K118" s="12" t="s">
        <v>18</v>
      </c>
      <c r="L118" s="43">
        <v>1505</v>
      </c>
      <c r="M118" s="44">
        <v>102</v>
      </c>
      <c r="N118" s="43">
        <f>_xlfn.XLOOKUP(Data5[[#This Row],[Product]],products7[Product],products7[Cost per unit])</f>
        <v>6.47</v>
      </c>
      <c r="O118" s="43">
        <f>Data5[[#This Row],[Units]]*Data5[[#This Row],[Cost per unit]]</f>
        <v>659.93999999999994</v>
      </c>
      <c r="P118" s="43">
        <f>Data5[[#This Row],[Amount]]-Data5[[#This Row],[Total Cost]]</f>
        <v>845.06000000000006</v>
      </c>
    </row>
    <row r="119" spans="9:16" x14ac:dyDescent="0.25">
      <c r="I119" s="12" t="s">
        <v>7</v>
      </c>
      <c r="J119" s="12" t="s">
        <v>35</v>
      </c>
      <c r="K119" s="12" t="s">
        <v>30</v>
      </c>
      <c r="L119" s="43">
        <v>6755</v>
      </c>
      <c r="M119" s="44">
        <v>252</v>
      </c>
      <c r="N119" s="43">
        <f>_xlfn.XLOOKUP(Data5[[#This Row],[Product]],products7[Product],products7[Cost per unit])</f>
        <v>14.49</v>
      </c>
      <c r="O119" s="43">
        <f>Data5[[#This Row],[Units]]*Data5[[#This Row],[Cost per unit]]</f>
        <v>3651.48</v>
      </c>
      <c r="P119" s="43">
        <f>Data5[[#This Row],[Amount]]-Data5[[#This Row],[Total Cost]]</f>
        <v>3103.52</v>
      </c>
    </row>
    <row r="120" spans="9:16" x14ac:dyDescent="0.25">
      <c r="I120" s="12" t="s">
        <v>2</v>
      </c>
      <c r="J120" s="12" t="s">
        <v>37</v>
      </c>
      <c r="K120" s="12" t="s">
        <v>18</v>
      </c>
      <c r="L120" s="43">
        <v>11571</v>
      </c>
      <c r="M120" s="44">
        <v>138</v>
      </c>
      <c r="N120" s="43">
        <f>_xlfn.XLOOKUP(Data5[[#This Row],[Product]],products7[Product],products7[Cost per unit])</f>
        <v>6.47</v>
      </c>
      <c r="O120" s="43">
        <f>Data5[[#This Row],[Units]]*Data5[[#This Row],[Cost per unit]]</f>
        <v>892.86</v>
      </c>
      <c r="P120" s="43">
        <f>Data5[[#This Row],[Amount]]-Data5[[#This Row],[Total Cost]]</f>
        <v>10678.14</v>
      </c>
    </row>
    <row r="121" spans="9:16" x14ac:dyDescent="0.25">
      <c r="I121" s="12" t="s">
        <v>40</v>
      </c>
      <c r="J121" s="12" t="s">
        <v>38</v>
      </c>
      <c r="K121" s="12" t="s">
        <v>25</v>
      </c>
      <c r="L121" s="43">
        <v>2541</v>
      </c>
      <c r="M121" s="44">
        <v>90</v>
      </c>
      <c r="N121" s="43">
        <f>_xlfn.XLOOKUP(Data5[[#This Row],[Product]],products7[Product],products7[Cost per unit])</f>
        <v>13.15</v>
      </c>
      <c r="O121" s="43">
        <f>Data5[[#This Row],[Units]]*Data5[[#This Row],[Cost per unit]]</f>
        <v>1183.5</v>
      </c>
      <c r="P121" s="43">
        <f>Data5[[#This Row],[Amount]]-Data5[[#This Row],[Total Cost]]</f>
        <v>1357.5</v>
      </c>
    </row>
    <row r="122" spans="9:16" x14ac:dyDescent="0.25">
      <c r="I122" s="12" t="s">
        <v>41</v>
      </c>
      <c r="J122" s="12" t="s">
        <v>37</v>
      </c>
      <c r="K122" s="12" t="s">
        <v>30</v>
      </c>
      <c r="L122" s="43">
        <v>1526</v>
      </c>
      <c r="M122" s="44">
        <v>240</v>
      </c>
      <c r="N122" s="43">
        <f>_xlfn.XLOOKUP(Data5[[#This Row],[Product]],products7[Product],products7[Cost per unit])</f>
        <v>14.49</v>
      </c>
      <c r="O122" s="43">
        <f>Data5[[#This Row],[Units]]*Data5[[#This Row],[Cost per unit]]</f>
        <v>3477.6</v>
      </c>
      <c r="P122" s="43">
        <f>Data5[[#This Row],[Amount]]-Data5[[#This Row],[Total Cost]]</f>
        <v>-1951.6</v>
      </c>
    </row>
    <row r="123" spans="9:16" x14ac:dyDescent="0.25">
      <c r="I123" s="12" t="s">
        <v>40</v>
      </c>
      <c r="J123" s="12" t="s">
        <v>38</v>
      </c>
      <c r="K123" s="12" t="s">
        <v>4</v>
      </c>
      <c r="L123" s="43">
        <v>6125</v>
      </c>
      <c r="M123" s="44">
        <v>102</v>
      </c>
      <c r="N123" s="43">
        <f>_xlfn.XLOOKUP(Data5[[#This Row],[Product]],products7[Product],products7[Cost per unit])</f>
        <v>11.88</v>
      </c>
      <c r="O123" s="43">
        <f>Data5[[#This Row],[Units]]*Data5[[#This Row],[Cost per unit]]</f>
        <v>1211.76</v>
      </c>
      <c r="P123" s="43">
        <f>Data5[[#This Row],[Amount]]-Data5[[#This Row],[Total Cost]]</f>
        <v>4913.24</v>
      </c>
    </row>
    <row r="124" spans="9:16" x14ac:dyDescent="0.25">
      <c r="I124" s="12" t="s">
        <v>41</v>
      </c>
      <c r="J124" s="12" t="s">
        <v>35</v>
      </c>
      <c r="K124" s="12" t="s">
        <v>27</v>
      </c>
      <c r="L124" s="43">
        <v>847</v>
      </c>
      <c r="M124" s="44">
        <v>129</v>
      </c>
      <c r="N124" s="43">
        <f>_xlfn.XLOOKUP(Data5[[#This Row],[Product]],products7[Product],products7[Cost per unit])</f>
        <v>16.73</v>
      </c>
      <c r="O124" s="43">
        <f>Data5[[#This Row],[Units]]*Data5[[#This Row],[Cost per unit]]</f>
        <v>2158.17</v>
      </c>
      <c r="P124" s="43">
        <f>Data5[[#This Row],[Amount]]-Data5[[#This Row],[Total Cost]]</f>
        <v>-1311.17</v>
      </c>
    </row>
    <row r="125" spans="9:16" x14ac:dyDescent="0.25">
      <c r="I125" s="12" t="s">
        <v>8</v>
      </c>
      <c r="J125" s="12" t="s">
        <v>35</v>
      </c>
      <c r="K125" s="12" t="s">
        <v>27</v>
      </c>
      <c r="L125" s="43">
        <v>4753</v>
      </c>
      <c r="M125" s="44">
        <v>300</v>
      </c>
      <c r="N125" s="43">
        <f>_xlfn.XLOOKUP(Data5[[#This Row],[Product]],products7[Product],products7[Cost per unit])</f>
        <v>16.73</v>
      </c>
      <c r="O125" s="43">
        <f>Data5[[#This Row],[Units]]*Data5[[#This Row],[Cost per unit]]</f>
        <v>5019</v>
      </c>
      <c r="P125" s="43">
        <f>Data5[[#This Row],[Amount]]-Data5[[#This Row],[Total Cost]]</f>
        <v>-266</v>
      </c>
    </row>
    <row r="126" spans="9:16" x14ac:dyDescent="0.25">
      <c r="I126" s="12" t="s">
        <v>6</v>
      </c>
      <c r="J126" s="12" t="s">
        <v>38</v>
      </c>
      <c r="K126" s="12" t="s">
        <v>33</v>
      </c>
      <c r="L126" s="43">
        <v>959</v>
      </c>
      <c r="M126" s="44">
        <v>135</v>
      </c>
      <c r="N126" s="43">
        <f>_xlfn.XLOOKUP(Data5[[#This Row],[Product]],products7[Product],products7[Cost per unit])</f>
        <v>12.37</v>
      </c>
      <c r="O126" s="43">
        <f>Data5[[#This Row],[Units]]*Data5[[#This Row],[Cost per unit]]</f>
        <v>1669.9499999999998</v>
      </c>
      <c r="P126" s="43">
        <f>Data5[[#This Row],[Amount]]-Data5[[#This Row],[Total Cost]]</f>
        <v>-710.94999999999982</v>
      </c>
    </row>
    <row r="127" spans="9:16" x14ac:dyDescent="0.25">
      <c r="I127" s="12" t="s">
        <v>7</v>
      </c>
      <c r="J127" s="12" t="s">
        <v>35</v>
      </c>
      <c r="K127" s="12" t="s">
        <v>24</v>
      </c>
      <c r="L127" s="43">
        <v>2793</v>
      </c>
      <c r="M127" s="44">
        <v>114</v>
      </c>
      <c r="N127" s="43">
        <f>_xlfn.XLOOKUP(Data5[[#This Row],[Product]],products7[Product],products7[Cost per unit])</f>
        <v>4.97</v>
      </c>
      <c r="O127" s="43">
        <f>Data5[[#This Row],[Units]]*Data5[[#This Row],[Cost per unit]]</f>
        <v>566.57999999999993</v>
      </c>
      <c r="P127" s="43">
        <f>Data5[[#This Row],[Amount]]-Data5[[#This Row],[Total Cost]]</f>
        <v>2226.42</v>
      </c>
    </row>
    <row r="128" spans="9:16" x14ac:dyDescent="0.25">
      <c r="I128" s="12" t="s">
        <v>7</v>
      </c>
      <c r="J128" s="12" t="s">
        <v>35</v>
      </c>
      <c r="K128" s="12" t="s">
        <v>14</v>
      </c>
      <c r="L128" s="43">
        <v>4606</v>
      </c>
      <c r="M128" s="44">
        <v>63</v>
      </c>
      <c r="N128" s="43">
        <f>_xlfn.XLOOKUP(Data5[[#This Row],[Product]],products7[Product],products7[Cost per unit])</f>
        <v>11.7</v>
      </c>
      <c r="O128" s="43">
        <f>Data5[[#This Row],[Units]]*Data5[[#This Row],[Cost per unit]]</f>
        <v>737.09999999999991</v>
      </c>
      <c r="P128" s="43">
        <f>Data5[[#This Row],[Amount]]-Data5[[#This Row],[Total Cost]]</f>
        <v>3868.9</v>
      </c>
    </row>
    <row r="129" spans="9:16" x14ac:dyDescent="0.25">
      <c r="I129" s="12" t="s">
        <v>7</v>
      </c>
      <c r="J129" s="12" t="s">
        <v>36</v>
      </c>
      <c r="K129" s="12" t="s">
        <v>29</v>
      </c>
      <c r="L129" s="43">
        <v>5551</v>
      </c>
      <c r="M129" s="44">
        <v>252</v>
      </c>
      <c r="N129" s="43">
        <f>_xlfn.XLOOKUP(Data5[[#This Row],[Product]],products7[Product],products7[Cost per unit])</f>
        <v>7.16</v>
      </c>
      <c r="O129" s="43">
        <f>Data5[[#This Row],[Units]]*Data5[[#This Row],[Cost per unit]]</f>
        <v>1804.32</v>
      </c>
      <c r="P129" s="43">
        <f>Data5[[#This Row],[Amount]]-Data5[[#This Row],[Total Cost]]</f>
        <v>3746.6800000000003</v>
      </c>
    </row>
    <row r="130" spans="9:16" x14ac:dyDescent="0.25">
      <c r="I130" s="12" t="s">
        <v>10</v>
      </c>
      <c r="J130" s="12" t="s">
        <v>36</v>
      </c>
      <c r="K130" s="12" t="s">
        <v>32</v>
      </c>
      <c r="L130" s="43">
        <v>6657</v>
      </c>
      <c r="M130" s="44">
        <v>303</v>
      </c>
      <c r="N130" s="43">
        <f>_xlfn.XLOOKUP(Data5[[#This Row],[Product]],products7[Product],products7[Cost per unit])</f>
        <v>8.65</v>
      </c>
      <c r="O130" s="43">
        <f>Data5[[#This Row],[Units]]*Data5[[#This Row],[Cost per unit]]</f>
        <v>2620.9500000000003</v>
      </c>
      <c r="P130" s="43">
        <f>Data5[[#This Row],[Amount]]-Data5[[#This Row],[Total Cost]]</f>
        <v>4036.0499999999997</v>
      </c>
    </row>
    <row r="131" spans="9:16" x14ac:dyDescent="0.25">
      <c r="I131" s="12" t="s">
        <v>7</v>
      </c>
      <c r="J131" s="12" t="s">
        <v>39</v>
      </c>
      <c r="K131" s="12" t="s">
        <v>17</v>
      </c>
      <c r="L131" s="43">
        <v>4438</v>
      </c>
      <c r="M131" s="44">
        <v>246</v>
      </c>
      <c r="N131" s="43">
        <f>_xlfn.XLOOKUP(Data5[[#This Row],[Product]],products7[Product],products7[Cost per unit])</f>
        <v>3.11</v>
      </c>
      <c r="O131" s="43">
        <f>Data5[[#This Row],[Units]]*Data5[[#This Row],[Cost per unit]]</f>
        <v>765.06</v>
      </c>
      <c r="P131" s="43">
        <f>Data5[[#This Row],[Amount]]-Data5[[#This Row],[Total Cost]]</f>
        <v>3672.94</v>
      </c>
    </row>
    <row r="132" spans="9:16" x14ac:dyDescent="0.25">
      <c r="I132" s="12" t="s">
        <v>8</v>
      </c>
      <c r="J132" s="12" t="s">
        <v>38</v>
      </c>
      <c r="K132" s="12" t="s">
        <v>22</v>
      </c>
      <c r="L132" s="43">
        <v>168</v>
      </c>
      <c r="M132" s="44">
        <v>84</v>
      </c>
      <c r="N132" s="43">
        <f>_xlfn.XLOOKUP(Data5[[#This Row],[Product]],products7[Product],products7[Cost per unit])</f>
        <v>9.77</v>
      </c>
      <c r="O132" s="43">
        <f>Data5[[#This Row],[Units]]*Data5[[#This Row],[Cost per unit]]</f>
        <v>820.68</v>
      </c>
      <c r="P132" s="43">
        <f>Data5[[#This Row],[Amount]]-Data5[[#This Row],[Total Cost]]</f>
        <v>-652.67999999999995</v>
      </c>
    </row>
    <row r="133" spans="9:16" x14ac:dyDescent="0.25">
      <c r="I133" s="12" t="s">
        <v>7</v>
      </c>
      <c r="J133" s="12" t="s">
        <v>34</v>
      </c>
      <c r="K133" s="12" t="s">
        <v>17</v>
      </c>
      <c r="L133" s="43">
        <v>7777</v>
      </c>
      <c r="M133" s="44">
        <v>39</v>
      </c>
      <c r="N133" s="43">
        <f>_xlfn.XLOOKUP(Data5[[#This Row],[Product]],products7[Product],products7[Cost per unit])</f>
        <v>3.11</v>
      </c>
      <c r="O133" s="43">
        <f>Data5[[#This Row],[Units]]*Data5[[#This Row],[Cost per unit]]</f>
        <v>121.28999999999999</v>
      </c>
      <c r="P133" s="43">
        <f>Data5[[#This Row],[Amount]]-Data5[[#This Row],[Total Cost]]</f>
        <v>7655.71</v>
      </c>
    </row>
    <row r="134" spans="9:16" x14ac:dyDescent="0.25">
      <c r="I134" s="12" t="s">
        <v>5</v>
      </c>
      <c r="J134" s="12" t="s">
        <v>36</v>
      </c>
      <c r="K134" s="12" t="s">
        <v>17</v>
      </c>
      <c r="L134" s="43">
        <v>3339</v>
      </c>
      <c r="M134" s="44">
        <v>348</v>
      </c>
      <c r="N134" s="43">
        <f>_xlfn.XLOOKUP(Data5[[#This Row],[Product]],products7[Product],products7[Cost per unit])</f>
        <v>3.11</v>
      </c>
      <c r="O134" s="43">
        <f>Data5[[#This Row],[Units]]*Data5[[#This Row],[Cost per unit]]</f>
        <v>1082.28</v>
      </c>
      <c r="P134" s="43">
        <f>Data5[[#This Row],[Amount]]-Data5[[#This Row],[Total Cost]]</f>
        <v>2256.7200000000003</v>
      </c>
    </row>
    <row r="135" spans="9:16" x14ac:dyDescent="0.25">
      <c r="I135" s="12" t="s">
        <v>7</v>
      </c>
      <c r="J135" s="12" t="s">
        <v>37</v>
      </c>
      <c r="K135" s="12" t="s">
        <v>33</v>
      </c>
      <c r="L135" s="43">
        <v>6391</v>
      </c>
      <c r="M135" s="44">
        <v>48</v>
      </c>
      <c r="N135" s="43">
        <f>_xlfn.XLOOKUP(Data5[[#This Row],[Product]],products7[Product],products7[Cost per unit])</f>
        <v>12.37</v>
      </c>
      <c r="O135" s="43">
        <f>Data5[[#This Row],[Units]]*Data5[[#This Row],[Cost per unit]]</f>
        <v>593.76</v>
      </c>
      <c r="P135" s="43">
        <f>Data5[[#This Row],[Amount]]-Data5[[#This Row],[Total Cost]]</f>
        <v>5797.24</v>
      </c>
    </row>
    <row r="136" spans="9:16" x14ac:dyDescent="0.25">
      <c r="I136" s="12" t="s">
        <v>5</v>
      </c>
      <c r="J136" s="12" t="s">
        <v>37</v>
      </c>
      <c r="K136" s="12" t="s">
        <v>22</v>
      </c>
      <c r="L136" s="43">
        <v>518</v>
      </c>
      <c r="M136" s="44">
        <v>75</v>
      </c>
      <c r="N136" s="43">
        <f>_xlfn.XLOOKUP(Data5[[#This Row],[Product]],products7[Product],products7[Cost per unit])</f>
        <v>9.77</v>
      </c>
      <c r="O136" s="43">
        <f>Data5[[#This Row],[Units]]*Data5[[#This Row],[Cost per unit]]</f>
        <v>732.75</v>
      </c>
      <c r="P136" s="43">
        <f>Data5[[#This Row],[Amount]]-Data5[[#This Row],[Total Cost]]</f>
        <v>-214.75</v>
      </c>
    </row>
    <row r="137" spans="9:16" x14ac:dyDescent="0.25">
      <c r="I137" s="12" t="s">
        <v>7</v>
      </c>
      <c r="J137" s="12" t="s">
        <v>38</v>
      </c>
      <c r="K137" s="12" t="s">
        <v>28</v>
      </c>
      <c r="L137" s="43">
        <v>5677</v>
      </c>
      <c r="M137" s="44">
        <v>258</v>
      </c>
      <c r="N137" s="43">
        <f>_xlfn.XLOOKUP(Data5[[#This Row],[Product]],products7[Product],products7[Cost per unit])</f>
        <v>10.38</v>
      </c>
      <c r="O137" s="43">
        <f>Data5[[#This Row],[Units]]*Data5[[#This Row],[Cost per unit]]</f>
        <v>2678.0400000000004</v>
      </c>
      <c r="P137" s="43">
        <f>Data5[[#This Row],[Amount]]-Data5[[#This Row],[Total Cost]]</f>
        <v>2998.9599999999996</v>
      </c>
    </row>
    <row r="138" spans="9:16" x14ac:dyDescent="0.25">
      <c r="I138" s="12" t="s">
        <v>6</v>
      </c>
      <c r="J138" s="12" t="s">
        <v>39</v>
      </c>
      <c r="K138" s="12" t="s">
        <v>17</v>
      </c>
      <c r="L138" s="43">
        <v>6048</v>
      </c>
      <c r="M138" s="44">
        <v>27</v>
      </c>
      <c r="N138" s="43">
        <f>_xlfn.XLOOKUP(Data5[[#This Row],[Product]],products7[Product],products7[Cost per unit])</f>
        <v>3.11</v>
      </c>
      <c r="O138" s="43">
        <f>Data5[[#This Row],[Units]]*Data5[[#This Row],[Cost per unit]]</f>
        <v>83.97</v>
      </c>
      <c r="P138" s="43">
        <f>Data5[[#This Row],[Amount]]-Data5[[#This Row],[Total Cost]]</f>
        <v>5964.03</v>
      </c>
    </row>
    <row r="139" spans="9:16" x14ac:dyDescent="0.25">
      <c r="I139" s="12" t="s">
        <v>8</v>
      </c>
      <c r="J139" s="12" t="s">
        <v>38</v>
      </c>
      <c r="K139" s="12" t="s">
        <v>32</v>
      </c>
      <c r="L139" s="43">
        <v>3752</v>
      </c>
      <c r="M139" s="44">
        <v>213</v>
      </c>
      <c r="N139" s="43">
        <f>_xlfn.XLOOKUP(Data5[[#This Row],[Product]],products7[Product],products7[Cost per unit])</f>
        <v>8.65</v>
      </c>
      <c r="O139" s="43">
        <f>Data5[[#This Row],[Units]]*Data5[[#This Row],[Cost per unit]]</f>
        <v>1842.45</v>
      </c>
      <c r="P139" s="43">
        <f>Data5[[#This Row],[Amount]]-Data5[[#This Row],[Total Cost]]</f>
        <v>1909.55</v>
      </c>
    </row>
    <row r="140" spans="9:16" x14ac:dyDescent="0.25">
      <c r="I140" s="12" t="s">
        <v>5</v>
      </c>
      <c r="J140" s="12" t="s">
        <v>35</v>
      </c>
      <c r="K140" s="12" t="s">
        <v>29</v>
      </c>
      <c r="L140" s="43">
        <v>4480</v>
      </c>
      <c r="M140" s="44">
        <v>357</v>
      </c>
      <c r="N140" s="43">
        <f>_xlfn.XLOOKUP(Data5[[#This Row],[Product]],products7[Product],products7[Cost per unit])</f>
        <v>7.16</v>
      </c>
      <c r="O140" s="43">
        <f>Data5[[#This Row],[Units]]*Data5[[#This Row],[Cost per unit]]</f>
        <v>2556.12</v>
      </c>
      <c r="P140" s="43">
        <f>Data5[[#This Row],[Amount]]-Data5[[#This Row],[Total Cost]]</f>
        <v>1923.88</v>
      </c>
    </row>
    <row r="141" spans="9:16" x14ac:dyDescent="0.25">
      <c r="I141" s="12" t="s">
        <v>9</v>
      </c>
      <c r="J141" s="12" t="s">
        <v>37</v>
      </c>
      <c r="K141" s="12" t="s">
        <v>4</v>
      </c>
      <c r="L141" s="43">
        <v>259</v>
      </c>
      <c r="M141" s="44">
        <v>207</v>
      </c>
      <c r="N141" s="43">
        <f>_xlfn.XLOOKUP(Data5[[#This Row],[Product]],products7[Product],products7[Cost per unit])</f>
        <v>11.88</v>
      </c>
      <c r="O141" s="43">
        <f>Data5[[#This Row],[Units]]*Data5[[#This Row],[Cost per unit]]</f>
        <v>2459.1600000000003</v>
      </c>
      <c r="P141" s="43">
        <f>Data5[[#This Row],[Amount]]-Data5[[#This Row],[Total Cost]]</f>
        <v>-2200.1600000000003</v>
      </c>
    </row>
    <row r="142" spans="9:16" x14ac:dyDescent="0.25">
      <c r="I142" s="12" t="s">
        <v>8</v>
      </c>
      <c r="J142" s="12" t="s">
        <v>37</v>
      </c>
      <c r="K142" s="12" t="s">
        <v>30</v>
      </c>
      <c r="L142" s="43">
        <v>42</v>
      </c>
      <c r="M142" s="44">
        <v>150</v>
      </c>
      <c r="N142" s="43">
        <f>_xlfn.XLOOKUP(Data5[[#This Row],[Product]],products7[Product],products7[Cost per unit])</f>
        <v>14.49</v>
      </c>
      <c r="O142" s="43">
        <f>Data5[[#This Row],[Units]]*Data5[[#This Row],[Cost per unit]]</f>
        <v>2173.5</v>
      </c>
      <c r="P142" s="43">
        <f>Data5[[#This Row],[Amount]]-Data5[[#This Row],[Total Cost]]</f>
        <v>-2131.5</v>
      </c>
    </row>
    <row r="143" spans="9:16" x14ac:dyDescent="0.25">
      <c r="I143" s="12" t="s">
        <v>41</v>
      </c>
      <c r="J143" s="12" t="s">
        <v>36</v>
      </c>
      <c r="K143" s="12" t="s">
        <v>26</v>
      </c>
      <c r="L143" s="43">
        <v>98</v>
      </c>
      <c r="M143" s="44">
        <v>204</v>
      </c>
      <c r="N143" s="43">
        <f>_xlfn.XLOOKUP(Data5[[#This Row],[Product]],products7[Product],products7[Cost per unit])</f>
        <v>5.6</v>
      </c>
      <c r="O143" s="43">
        <f>Data5[[#This Row],[Units]]*Data5[[#This Row],[Cost per unit]]</f>
        <v>1142.3999999999999</v>
      </c>
      <c r="P143" s="43">
        <f>Data5[[#This Row],[Amount]]-Data5[[#This Row],[Total Cost]]</f>
        <v>-1044.3999999999999</v>
      </c>
    </row>
    <row r="144" spans="9:16" x14ac:dyDescent="0.25">
      <c r="I144" s="12" t="s">
        <v>7</v>
      </c>
      <c r="J144" s="12" t="s">
        <v>35</v>
      </c>
      <c r="K144" s="12" t="s">
        <v>27</v>
      </c>
      <c r="L144" s="43">
        <v>2478</v>
      </c>
      <c r="M144" s="44">
        <v>21</v>
      </c>
      <c r="N144" s="43">
        <f>_xlfn.XLOOKUP(Data5[[#This Row],[Product]],products7[Product],products7[Cost per unit])</f>
        <v>16.73</v>
      </c>
      <c r="O144" s="43">
        <f>Data5[[#This Row],[Units]]*Data5[[#This Row],[Cost per unit]]</f>
        <v>351.33</v>
      </c>
      <c r="P144" s="43">
        <f>Data5[[#This Row],[Amount]]-Data5[[#This Row],[Total Cost]]</f>
        <v>2126.67</v>
      </c>
    </row>
    <row r="145" spans="9:16" x14ac:dyDescent="0.25">
      <c r="I145" s="12" t="s">
        <v>41</v>
      </c>
      <c r="J145" s="12" t="s">
        <v>34</v>
      </c>
      <c r="K145" s="12" t="s">
        <v>33</v>
      </c>
      <c r="L145" s="43">
        <v>7847</v>
      </c>
      <c r="M145" s="44">
        <v>174</v>
      </c>
      <c r="N145" s="43">
        <f>_xlfn.XLOOKUP(Data5[[#This Row],[Product]],products7[Product],products7[Cost per unit])</f>
        <v>12.37</v>
      </c>
      <c r="O145" s="43">
        <f>Data5[[#This Row],[Units]]*Data5[[#This Row],[Cost per unit]]</f>
        <v>2152.3799999999997</v>
      </c>
      <c r="P145" s="43">
        <f>Data5[[#This Row],[Amount]]-Data5[[#This Row],[Total Cost]]</f>
        <v>5694.6200000000008</v>
      </c>
    </row>
    <row r="146" spans="9:16" x14ac:dyDescent="0.25">
      <c r="I146" s="12" t="s">
        <v>2</v>
      </c>
      <c r="J146" s="12" t="s">
        <v>37</v>
      </c>
      <c r="K146" s="12" t="s">
        <v>17</v>
      </c>
      <c r="L146" s="43">
        <v>9926</v>
      </c>
      <c r="M146" s="44">
        <v>201</v>
      </c>
      <c r="N146" s="43">
        <f>_xlfn.XLOOKUP(Data5[[#This Row],[Product]],products7[Product],products7[Cost per unit])</f>
        <v>3.11</v>
      </c>
      <c r="O146" s="43">
        <f>Data5[[#This Row],[Units]]*Data5[[#This Row],[Cost per unit]]</f>
        <v>625.11</v>
      </c>
      <c r="P146" s="43">
        <f>Data5[[#This Row],[Amount]]-Data5[[#This Row],[Total Cost]]</f>
        <v>9300.89</v>
      </c>
    </row>
    <row r="147" spans="9:16" x14ac:dyDescent="0.25">
      <c r="I147" s="12" t="s">
        <v>8</v>
      </c>
      <c r="J147" s="12" t="s">
        <v>38</v>
      </c>
      <c r="K147" s="12" t="s">
        <v>13</v>
      </c>
      <c r="L147" s="43">
        <v>819</v>
      </c>
      <c r="M147" s="44">
        <v>510</v>
      </c>
      <c r="N147" s="43">
        <f>_xlfn.XLOOKUP(Data5[[#This Row],[Product]],products7[Product],products7[Cost per unit])</f>
        <v>9.33</v>
      </c>
      <c r="O147" s="43">
        <f>Data5[[#This Row],[Units]]*Data5[[#This Row],[Cost per unit]]</f>
        <v>4758.3</v>
      </c>
      <c r="P147" s="43">
        <f>Data5[[#This Row],[Amount]]-Data5[[#This Row],[Total Cost]]</f>
        <v>-3939.3</v>
      </c>
    </row>
    <row r="148" spans="9:16" x14ac:dyDescent="0.25">
      <c r="I148" s="12" t="s">
        <v>6</v>
      </c>
      <c r="J148" s="12" t="s">
        <v>39</v>
      </c>
      <c r="K148" s="12" t="s">
        <v>29</v>
      </c>
      <c r="L148" s="43">
        <v>3052</v>
      </c>
      <c r="M148" s="44">
        <v>378</v>
      </c>
      <c r="N148" s="43">
        <f>_xlfn.XLOOKUP(Data5[[#This Row],[Product]],products7[Product],products7[Cost per unit])</f>
        <v>7.16</v>
      </c>
      <c r="O148" s="43">
        <f>Data5[[#This Row],[Units]]*Data5[[#This Row],[Cost per unit]]</f>
        <v>2706.48</v>
      </c>
      <c r="P148" s="43">
        <f>Data5[[#This Row],[Amount]]-Data5[[#This Row],[Total Cost]]</f>
        <v>345.52</v>
      </c>
    </row>
    <row r="149" spans="9:16" x14ac:dyDescent="0.25">
      <c r="I149" s="12" t="s">
        <v>9</v>
      </c>
      <c r="J149" s="12" t="s">
        <v>34</v>
      </c>
      <c r="K149" s="12" t="s">
        <v>21</v>
      </c>
      <c r="L149" s="43">
        <v>6832</v>
      </c>
      <c r="M149" s="44">
        <v>27</v>
      </c>
      <c r="N149" s="43">
        <f>_xlfn.XLOOKUP(Data5[[#This Row],[Product]],products7[Product],products7[Cost per unit])</f>
        <v>9</v>
      </c>
      <c r="O149" s="43">
        <f>Data5[[#This Row],[Units]]*Data5[[#This Row],[Cost per unit]]</f>
        <v>243</v>
      </c>
      <c r="P149" s="43">
        <f>Data5[[#This Row],[Amount]]-Data5[[#This Row],[Total Cost]]</f>
        <v>6589</v>
      </c>
    </row>
    <row r="150" spans="9:16" x14ac:dyDescent="0.25">
      <c r="I150" s="12" t="s">
        <v>2</v>
      </c>
      <c r="J150" s="12" t="s">
        <v>39</v>
      </c>
      <c r="K150" s="12" t="s">
        <v>16</v>
      </c>
      <c r="L150" s="43">
        <v>2016</v>
      </c>
      <c r="M150" s="44">
        <v>117</v>
      </c>
      <c r="N150" s="43">
        <f>_xlfn.XLOOKUP(Data5[[#This Row],[Product]],products7[Product],products7[Cost per unit])</f>
        <v>8.7899999999999991</v>
      </c>
      <c r="O150" s="43">
        <f>Data5[[#This Row],[Units]]*Data5[[#This Row],[Cost per unit]]</f>
        <v>1028.4299999999998</v>
      </c>
      <c r="P150" s="43">
        <f>Data5[[#This Row],[Amount]]-Data5[[#This Row],[Total Cost]]</f>
        <v>987.57000000000016</v>
      </c>
    </row>
    <row r="151" spans="9:16" x14ac:dyDescent="0.25">
      <c r="I151" s="12" t="s">
        <v>6</v>
      </c>
      <c r="J151" s="12" t="s">
        <v>38</v>
      </c>
      <c r="K151" s="12" t="s">
        <v>21</v>
      </c>
      <c r="L151" s="43">
        <v>7322</v>
      </c>
      <c r="M151" s="44">
        <v>36</v>
      </c>
      <c r="N151" s="43">
        <f>_xlfn.XLOOKUP(Data5[[#This Row],[Product]],products7[Product],products7[Cost per unit])</f>
        <v>9</v>
      </c>
      <c r="O151" s="43">
        <f>Data5[[#This Row],[Units]]*Data5[[#This Row],[Cost per unit]]</f>
        <v>324</v>
      </c>
      <c r="P151" s="43">
        <f>Data5[[#This Row],[Amount]]-Data5[[#This Row],[Total Cost]]</f>
        <v>6998</v>
      </c>
    </row>
    <row r="152" spans="9:16" x14ac:dyDescent="0.25">
      <c r="I152" s="12" t="s">
        <v>8</v>
      </c>
      <c r="J152" s="12" t="s">
        <v>35</v>
      </c>
      <c r="K152" s="12" t="s">
        <v>33</v>
      </c>
      <c r="L152" s="43">
        <v>357</v>
      </c>
      <c r="M152" s="44">
        <v>126</v>
      </c>
      <c r="N152" s="43">
        <f>_xlfn.XLOOKUP(Data5[[#This Row],[Product]],products7[Product],products7[Cost per unit])</f>
        <v>12.37</v>
      </c>
      <c r="O152" s="43">
        <f>Data5[[#This Row],[Units]]*Data5[[#This Row],[Cost per unit]]</f>
        <v>1558.62</v>
      </c>
      <c r="P152" s="43">
        <f>Data5[[#This Row],[Amount]]-Data5[[#This Row],[Total Cost]]</f>
        <v>-1201.6199999999999</v>
      </c>
    </row>
    <row r="153" spans="9:16" x14ac:dyDescent="0.25">
      <c r="I153" s="12" t="s">
        <v>9</v>
      </c>
      <c r="J153" s="12" t="s">
        <v>39</v>
      </c>
      <c r="K153" s="12" t="s">
        <v>25</v>
      </c>
      <c r="L153" s="43">
        <v>3192</v>
      </c>
      <c r="M153" s="44">
        <v>72</v>
      </c>
      <c r="N153" s="43">
        <f>_xlfn.XLOOKUP(Data5[[#This Row],[Product]],products7[Product],products7[Cost per unit])</f>
        <v>13.15</v>
      </c>
      <c r="O153" s="43">
        <f>Data5[[#This Row],[Units]]*Data5[[#This Row],[Cost per unit]]</f>
        <v>946.80000000000007</v>
      </c>
      <c r="P153" s="43">
        <f>Data5[[#This Row],[Amount]]-Data5[[#This Row],[Total Cost]]</f>
        <v>2245.1999999999998</v>
      </c>
    </row>
    <row r="154" spans="9:16" x14ac:dyDescent="0.25">
      <c r="I154" s="12" t="s">
        <v>7</v>
      </c>
      <c r="J154" s="12" t="s">
        <v>36</v>
      </c>
      <c r="K154" s="12" t="s">
        <v>22</v>
      </c>
      <c r="L154" s="43">
        <v>8435</v>
      </c>
      <c r="M154" s="44">
        <v>42</v>
      </c>
      <c r="N154" s="43">
        <f>_xlfn.XLOOKUP(Data5[[#This Row],[Product]],products7[Product],products7[Cost per unit])</f>
        <v>9.77</v>
      </c>
      <c r="O154" s="43">
        <f>Data5[[#This Row],[Units]]*Data5[[#This Row],[Cost per unit]]</f>
        <v>410.34</v>
      </c>
      <c r="P154" s="43">
        <f>Data5[[#This Row],[Amount]]-Data5[[#This Row],[Total Cost]]</f>
        <v>8024.66</v>
      </c>
    </row>
    <row r="155" spans="9:16" x14ac:dyDescent="0.25">
      <c r="I155" s="12" t="s">
        <v>40</v>
      </c>
      <c r="J155" s="12" t="s">
        <v>39</v>
      </c>
      <c r="K155" s="12" t="s">
        <v>29</v>
      </c>
      <c r="L155" s="43">
        <v>0</v>
      </c>
      <c r="M155" s="44">
        <v>135</v>
      </c>
      <c r="N155" s="43">
        <f>_xlfn.XLOOKUP(Data5[[#This Row],[Product]],products7[Product],products7[Cost per unit])</f>
        <v>7.16</v>
      </c>
      <c r="O155" s="43">
        <f>Data5[[#This Row],[Units]]*Data5[[#This Row],[Cost per unit]]</f>
        <v>966.6</v>
      </c>
      <c r="P155" s="43">
        <f>Data5[[#This Row],[Amount]]-Data5[[#This Row],[Total Cost]]</f>
        <v>-966.6</v>
      </c>
    </row>
    <row r="156" spans="9:16" x14ac:dyDescent="0.25">
      <c r="I156" s="12" t="s">
        <v>7</v>
      </c>
      <c r="J156" s="12" t="s">
        <v>34</v>
      </c>
      <c r="K156" s="12" t="s">
        <v>24</v>
      </c>
      <c r="L156" s="43">
        <v>8862</v>
      </c>
      <c r="M156" s="44">
        <v>189</v>
      </c>
      <c r="N156" s="43">
        <f>_xlfn.XLOOKUP(Data5[[#This Row],[Product]],products7[Product],products7[Cost per unit])</f>
        <v>4.97</v>
      </c>
      <c r="O156" s="43">
        <f>Data5[[#This Row],[Units]]*Data5[[#This Row],[Cost per unit]]</f>
        <v>939.32999999999993</v>
      </c>
      <c r="P156" s="43">
        <f>Data5[[#This Row],[Amount]]-Data5[[#This Row],[Total Cost]]</f>
        <v>7922.67</v>
      </c>
    </row>
    <row r="157" spans="9:16" x14ac:dyDescent="0.25">
      <c r="I157" s="12" t="s">
        <v>6</v>
      </c>
      <c r="J157" s="12" t="s">
        <v>37</v>
      </c>
      <c r="K157" s="12" t="s">
        <v>28</v>
      </c>
      <c r="L157" s="43">
        <v>3556</v>
      </c>
      <c r="M157" s="44">
        <v>459</v>
      </c>
      <c r="N157" s="43">
        <f>_xlfn.XLOOKUP(Data5[[#This Row],[Product]],products7[Product],products7[Cost per unit])</f>
        <v>10.38</v>
      </c>
      <c r="O157" s="43">
        <f>Data5[[#This Row],[Units]]*Data5[[#This Row],[Cost per unit]]</f>
        <v>4764.42</v>
      </c>
      <c r="P157" s="43">
        <f>Data5[[#This Row],[Amount]]-Data5[[#This Row],[Total Cost]]</f>
        <v>-1208.42</v>
      </c>
    </row>
    <row r="158" spans="9:16" x14ac:dyDescent="0.25">
      <c r="I158" s="12" t="s">
        <v>5</v>
      </c>
      <c r="J158" s="12" t="s">
        <v>34</v>
      </c>
      <c r="K158" s="12" t="s">
        <v>15</v>
      </c>
      <c r="L158" s="43">
        <v>7280</v>
      </c>
      <c r="M158" s="44">
        <v>201</v>
      </c>
      <c r="N158" s="43">
        <f>_xlfn.XLOOKUP(Data5[[#This Row],[Product]],products7[Product],products7[Cost per unit])</f>
        <v>11.73</v>
      </c>
      <c r="O158" s="43">
        <f>Data5[[#This Row],[Units]]*Data5[[#This Row],[Cost per unit]]</f>
        <v>2357.73</v>
      </c>
      <c r="P158" s="43">
        <f>Data5[[#This Row],[Amount]]-Data5[[#This Row],[Total Cost]]</f>
        <v>4922.2700000000004</v>
      </c>
    </row>
    <row r="159" spans="9:16" x14ac:dyDescent="0.25">
      <c r="I159" s="12" t="s">
        <v>6</v>
      </c>
      <c r="J159" s="12" t="s">
        <v>34</v>
      </c>
      <c r="K159" s="12" t="s">
        <v>30</v>
      </c>
      <c r="L159" s="43">
        <v>3402</v>
      </c>
      <c r="M159" s="44">
        <v>366</v>
      </c>
      <c r="N159" s="43">
        <f>_xlfn.XLOOKUP(Data5[[#This Row],[Product]],products7[Product],products7[Cost per unit])</f>
        <v>14.49</v>
      </c>
      <c r="O159" s="43">
        <f>Data5[[#This Row],[Units]]*Data5[[#This Row],[Cost per unit]]</f>
        <v>5303.34</v>
      </c>
      <c r="P159" s="43">
        <f>Data5[[#This Row],[Amount]]-Data5[[#This Row],[Total Cost]]</f>
        <v>-1901.3400000000001</v>
      </c>
    </row>
    <row r="160" spans="9:16" x14ac:dyDescent="0.25">
      <c r="I160" s="12" t="s">
        <v>3</v>
      </c>
      <c r="J160" s="12" t="s">
        <v>37</v>
      </c>
      <c r="K160" s="12" t="s">
        <v>29</v>
      </c>
      <c r="L160" s="43">
        <v>4592</v>
      </c>
      <c r="M160" s="44">
        <v>324</v>
      </c>
      <c r="N160" s="43">
        <f>_xlfn.XLOOKUP(Data5[[#This Row],[Product]],products7[Product],products7[Cost per unit])</f>
        <v>7.16</v>
      </c>
      <c r="O160" s="43">
        <f>Data5[[#This Row],[Units]]*Data5[[#This Row],[Cost per unit]]</f>
        <v>2319.84</v>
      </c>
      <c r="P160" s="43">
        <f>Data5[[#This Row],[Amount]]-Data5[[#This Row],[Total Cost]]</f>
        <v>2272.16</v>
      </c>
    </row>
    <row r="161" spans="9:16" x14ac:dyDescent="0.25">
      <c r="I161" s="12" t="s">
        <v>9</v>
      </c>
      <c r="J161" s="12" t="s">
        <v>35</v>
      </c>
      <c r="K161" s="12" t="s">
        <v>15</v>
      </c>
      <c r="L161" s="43">
        <v>7833</v>
      </c>
      <c r="M161" s="44">
        <v>243</v>
      </c>
      <c r="N161" s="43">
        <f>_xlfn.XLOOKUP(Data5[[#This Row],[Product]],products7[Product],products7[Cost per unit])</f>
        <v>11.73</v>
      </c>
      <c r="O161" s="43">
        <f>Data5[[#This Row],[Units]]*Data5[[#This Row],[Cost per unit]]</f>
        <v>2850.3900000000003</v>
      </c>
      <c r="P161" s="43">
        <f>Data5[[#This Row],[Amount]]-Data5[[#This Row],[Total Cost]]</f>
        <v>4982.6099999999997</v>
      </c>
    </row>
    <row r="162" spans="9:16" x14ac:dyDescent="0.25">
      <c r="I162" s="12" t="s">
        <v>2</v>
      </c>
      <c r="J162" s="12" t="s">
        <v>39</v>
      </c>
      <c r="K162" s="12" t="s">
        <v>21</v>
      </c>
      <c r="L162" s="43">
        <v>7651</v>
      </c>
      <c r="M162" s="44">
        <v>213</v>
      </c>
      <c r="N162" s="43">
        <f>_xlfn.XLOOKUP(Data5[[#This Row],[Product]],products7[Product],products7[Cost per unit])</f>
        <v>9</v>
      </c>
      <c r="O162" s="43">
        <f>Data5[[#This Row],[Units]]*Data5[[#This Row],[Cost per unit]]</f>
        <v>1917</v>
      </c>
      <c r="P162" s="43">
        <f>Data5[[#This Row],[Amount]]-Data5[[#This Row],[Total Cost]]</f>
        <v>5734</v>
      </c>
    </row>
    <row r="163" spans="9:16" x14ac:dyDescent="0.25">
      <c r="I163" s="12" t="s">
        <v>40</v>
      </c>
      <c r="J163" s="12" t="s">
        <v>35</v>
      </c>
      <c r="K163" s="12" t="s">
        <v>30</v>
      </c>
      <c r="L163" s="43">
        <v>2275</v>
      </c>
      <c r="M163" s="44">
        <v>447</v>
      </c>
      <c r="N163" s="43">
        <f>_xlfn.XLOOKUP(Data5[[#This Row],[Product]],products7[Product],products7[Cost per unit])</f>
        <v>14.49</v>
      </c>
      <c r="O163" s="43">
        <f>Data5[[#This Row],[Units]]*Data5[[#This Row],[Cost per unit]]</f>
        <v>6477.03</v>
      </c>
      <c r="P163" s="43">
        <f>Data5[[#This Row],[Amount]]-Data5[[#This Row],[Total Cost]]</f>
        <v>-4202.03</v>
      </c>
    </row>
    <row r="164" spans="9:16" x14ac:dyDescent="0.25">
      <c r="I164" s="12" t="s">
        <v>40</v>
      </c>
      <c r="J164" s="12" t="s">
        <v>38</v>
      </c>
      <c r="K164" s="12" t="s">
        <v>13</v>
      </c>
      <c r="L164" s="43">
        <v>5670</v>
      </c>
      <c r="M164" s="44">
        <v>297</v>
      </c>
      <c r="N164" s="43">
        <f>_xlfn.XLOOKUP(Data5[[#This Row],[Product]],products7[Product],products7[Cost per unit])</f>
        <v>9.33</v>
      </c>
      <c r="O164" s="43">
        <f>Data5[[#This Row],[Units]]*Data5[[#This Row],[Cost per unit]]</f>
        <v>2771.01</v>
      </c>
      <c r="P164" s="43">
        <f>Data5[[#This Row],[Amount]]-Data5[[#This Row],[Total Cost]]</f>
        <v>2898.99</v>
      </c>
    </row>
    <row r="165" spans="9:16" x14ac:dyDescent="0.25">
      <c r="I165" s="12" t="s">
        <v>7</v>
      </c>
      <c r="J165" s="12" t="s">
        <v>35</v>
      </c>
      <c r="K165" s="12" t="s">
        <v>16</v>
      </c>
      <c r="L165" s="43">
        <v>2135</v>
      </c>
      <c r="M165" s="44">
        <v>27</v>
      </c>
      <c r="N165" s="43">
        <f>_xlfn.XLOOKUP(Data5[[#This Row],[Product]],products7[Product],products7[Cost per unit])</f>
        <v>8.7899999999999991</v>
      </c>
      <c r="O165" s="43">
        <f>Data5[[#This Row],[Units]]*Data5[[#This Row],[Cost per unit]]</f>
        <v>237.32999999999998</v>
      </c>
      <c r="P165" s="43">
        <f>Data5[[#This Row],[Amount]]-Data5[[#This Row],[Total Cost]]</f>
        <v>1897.67</v>
      </c>
    </row>
    <row r="166" spans="9:16" x14ac:dyDescent="0.25">
      <c r="I166" s="12" t="s">
        <v>40</v>
      </c>
      <c r="J166" s="12" t="s">
        <v>34</v>
      </c>
      <c r="K166" s="12" t="s">
        <v>23</v>
      </c>
      <c r="L166" s="43">
        <v>2779</v>
      </c>
      <c r="M166" s="44">
        <v>75</v>
      </c>
      <c r="N166" s="43">
        <f>_xlfn.XLOOKUP(Data5[[#This Row],[Product]],products7[Product],products7[Cost per unit])</f>
        <v>6.49</v>
      </c>
      <c r="O166" s="43">
        <f>Data5[[#This Row],[Units]]*Data5[[#This Row],[Cost per unit]]</f>
        <v>486.75</v>
      </c>
      <c r="P166" s="43">
        <f>Data5[[#This Row],[Amount]]-Data5[[#This Row],[Total Cost]]</f>
        <v>2292.25</v>
      </c>
    </row>
    <row r="167" spans="9:16" x14ac:dyDescent="0.25">
      <c r="I167" s="12" t="s">
        <v>10</v>
      </c>
      <c r="J167" s="12" t="s">
        <v>39</v>
      </c>
      <c r="K167" s="12" t="s">
        <v>33</v>
      </c>
      <c r="L167" s="43">
        <v>12950</v>
      </c>
      <c r="M167" s="44">
        <v>30</v>
      </c>
      <c r="N167" s="43">
        <f>_xlfn.XLOOKUP(Data5[[#This Row],[Product]],products7[Product],products7[Cost per unit])</f>
        <v>12.37</v>
      </c>
      <c r="O167" s="43">
        <f>Data5[[#This Row],[Units]]*Data5[[#This Row],[Cost per unit]]</f>
        <v>371.09999999999997</v>
      </c>
      <c r="P167" s="43">
        <f>Data5[[#This Row],[Amount]]-Data5[[#This Row],[Total Cost]]</f>
        <v>12578.9</v>
      </c>
    </row>
    <row r="168" spans="9:16" x14ac:dyDescent="0.25">
      <c r="I168" s="12" t="s">
        <v>7</v>
      </c>
      <c r="J168" s="12" t="s">
        <v>36</v>
      </c>
      <c r="K168" s="12" t="s">
        <v>18</v>
      </c>
      <c r="L168" s="43">
        <v>2646</v>
      </c>
      <c r="M168" s="44">
        <v>177</v>
      </c>
      <c r="N168" s="43">
        <f>_xlfn.XLOOKUP(Data5[[#This Row],[Product]],products7[Product],products7[Cost per unit])</f>
        <v>6.47</v>
      </c>
      <c r="O168" s="43">
        <f>Data5[[#This Row],[Units]]*Data5[[#This Row],[Cost per unit]]</f>
        <v>1145.19</v>
      </c>
      <c r="P168" s="43">
        <f>Data5[[#This Row],[Amount]]-Data5[[#This Row],[Total Cost]]</f>
        <v>1500.81</v>
      </c>
    </row>
    <row r="169" spans="9:16" x14ac:dyDescent="0.25">
      <c r="I169" s="12" t="s">
        <v>40</v>
      </c>
      <c r="J169" s="12" t="s">
        <v>34</v>
      </c>
      <c r="K169" s="12" t="s">
        <v>33</v>
      </c>
      <c r="L169" s="43">
        <v>3794</v>
      </c>
      <c r="M169" s="44">
        <v>159</v>
      </c>
      <c r="N169" s="43">
        <f>_xlfn.XLOOKUP(Data5[[#This Row],[Product]],products7[Product],products7[Cost per unit])</f>
        <v>12.37</v>
      </c>
      <c r="O169" s="43">
        <f>Data5[[#This Row],[Units]]*Data5[[#This Row],[Cost per unit]]</f>
        <v>1966.83</v>
      </c>
      <c r="P169" s="43">
        <f>Data5[[#This Row],[Amount]]-Data5[[#This Row],[Total Cost]]</f>
        <v>1827.17</v>
      </c>
    </row>
    <row r="170" spans="9:16" x14ac:dyDescent="0.25">
      <c r="I170" s="12" t="s">
        <v>3</v>
      </c>
      <c r="J170" s="12" t="s">
        <v>35</v>
      </c>
      <c r="K170" s="12" t="s">
        <v>33</v>
      </c>
      <c r="L170" s="43">
        <v>819</v>
      </c>
      <c r="M170" s="44">
        <v>306</v>
      </c>
      <c r="N170" s="43">
        <f>_xlfn.XLOOKUP(Data5[[#This Row],[Product]],products7[Product],products7[Cost per unit])</f>
        <v>12.37</v>
      </c>
      <c r="O170" s="43">
        <f>Data5[[#This Row],[Units]]*Data5[[#This Row],[Cost per unit]]</f>
        <v>3785.22</v>
      </c>
      <c r="P170" s="43">
        <f>Data5[[#This Row],[Amount]]-Data5[[#This Row],[Total Cost]]</f>
        <v>-2966.22</v>
      </c>
    </row>
    <row r="171" spans="9:16" x14ac:dyDescent="0.25">
      <c r="I171" s="12" t="s">
        <v>3</v>
      </c>
      <c r="J171" s="12" t="s">
        <v>34</v>
      </c>
      <c r="K171" s="12" t="s">
        <v>20</v>
      </c>
      <c r="L171" s="43">
        <v>2583</v>
      </c>
      <c r="M171" s="44">
        <v>18</v>
      </c>
      <c r="N171" s="43">
        <f>_xlfn.XLOOKUP(Data5[[#This Row],[Product]],products7[Product],products7[Cost per unit])</f>
        <v>10.62</v>
      </c>
      <c r="O171" s="43">
        <f>Data5[[#This Row],[Units]]*Data5[[#This Row],[Cost per unit]]</f>
        <v>191.16</v>
      </c>
      <c r="P171" s="43">
        <f>Data5[[#This Row],[Amount]]-Data5[[#This Row],[Total Cost]]</f>
        <v>2391.84</v>
      </c>
    </row>
    <row r="172" spans="9:16" x14ac:dyDescent="0.25">
      <c r="I172" s="12" t="s">
        <v>7</v>
      </c>
      <c r="J172" s="12" t="s">
        <v>35</v>
      </c>
      <c r="K172" s="12" t="s">
        <v>19</v>
      </c>
      <c r="L172" s="43">
        <v>4585</v>
      </c>
      <c r="M172" s="44">
        <v>240</v>
      </c>
      <c r="N172" s="43">
        <f>_xlfn.XLOOKUP(Data5[[#This Row],[Product]],products7[Product],products7[Cost per unit])</f>
        <v>7.64</v>
      </c>
      <c r="O172" s="43">
        <f>Data5[[#This Row],[Units]]*Data5[[#This Row],[Cost per unit]]</f>
        <v>1833.6</v>
      </c>
      <c r="P172" s="43">
        <f>Data5[[#This Row],[Amount]]-Data5[[#This Row],[Total Cost]]</f>
        <v>2751.4</v>
      </c>
    </row>
    <row r="173" spans="9:16" x14ac:dyDescent="0.25">
      <c r="I173" s="12" t="s">
        <v>5</v>
      </c>
      <c r="J173" s="12" t="s">
        <v>34</v>
      </c>
      <c r="K173" s="12" t="s">
        <v>33</v>
      </c>
      <c r="L173" s="43">
        <v>1652</v>
      </c>
      <c r="M173" s="44">
        <v>93</v>
      </c>
      <c r="N173" s="43">
        <f>_xlfn.XLOOKUP(Data5[[#This Row],[Product]],products7[Product],products7[Cost per unit])</f>
        <v>12.37</v>
      </c>
      <c r="O173" s="43">
        <f>Data5[[#This Row],[Units]]*Data5[[#This Row],[Cost per unit]]</f>
        <v>1150.4099999999999</v>
      </c>
      <c r="P173" s="43">
        <f>Data5[[#This Row],[Amount]]-Data5[[#This Row],[Total Cost]]</f>
        <v>501.59000000000015</v>
      </c>
    </row>
    <row r="174" spans="9:16" x14ac:dyDescent="0.25">
      <c r="I174" s="12" t="s">
        <v>10</v>
      </c>
      <c r="J174" s="12" t="s">
        <v>34</v>
      </c>
      <c r="K174" s="12" t="s">
        <v>26</v>
      </c>
      <c r="L174" s="43">
        <v>4991</v>
      </c>
      <c r="M174" s="44">
        <v>9</v>
      </c>
      <c r="N174" s="43">
        <f>_xlfn.XLOOKUP(Data5[[#This Row],[Product]],products7[Product],products7[Cost per unit])</f>
        <v>5.6</v>
      </c>
      <c r="O174" s="43">
        <f>Data5[[#This Row],[Units]]*Data5[[#This Row],[Cost per unit]]</f>
        <v>50.4</v>
      </c>
      <c r="P174" s="43">
        <f>Data5[[#This Row],[Amount]]-Data5[[#This Row],[Total Cost]]</f>
        <v>4940.6000000000004</v>
      </c>
    </row>
    <row r="175" spans="9:16" x14ac:dyDescent="0.25">
      <c r="I175" s="12" t="s">
        <v>8</v>
      </c>
      <c r="J175" s="12" t="s">
        <v>34</v>
      </c>
      <c r="K175" s="12" t="s">
        <v>16</v>
      </c>
      <c r="L175" s="43">
        <v>2009</v>
      </c>
      <c r="M175" s="44">
        <v>219</v>
      </c>
      <c r="N175" s="43">
        <f>_xlfn.XLOOKUP(Data5[[#This Row],[Product]],products7[Product],products7[Cost per unit])</f>
        <v>8.7899999999999991</v>
      </c>
      <c r="O175" s="43">
        <f>Data5[[#This Row],[Units]]*Data5[[#This Row],[Cost per unit]]</f>
        <v>1925.0099999999998</v>
      </c>
      <c r="P175" s="43">
        <f>Data5[[#This Row],[Amount]]-Data5[[#This Row],[Total Cost]]</f>
        <v>83.990000000000236</v>
      </c>
    </row>
    <row r="176" spans="9:16" x14ac:dyDescent="0.25">
      <c r="I176" s="12" t="s">
        <v>2</v>
      </c>
      <c r="J176" s="12" t="s">
        <v>39</v>
      </c>
      <c r="K176" s="12" t="s">
        <v>22</v>
      </c>
      <c r="L176" s="43">
        <v>1568</v>
      </c>
      <c r="M176" s="44">
        <v>141</v>
      </c>
      <c r="N176" s="43">
        <f>_xlfn.XLOOKUP(Data5[[#This Row],[Product]],products7[Product],products7[Cost per unit])</f>
        <v>9.77</v>
      </c>
      <c r="O176" s="43">
        <f>Data5[[#This Row],[Units]]*Data5[[#This Row],[Cost per unit]]</f>
        <v>1377.57</v>
      </c>
      <c r="P176" s="43">
        <f>Data5[[#This Row],[Amount]]-Data5[[#This Row],[Total Cost]]</f>
        <v>190.43000000000006</v>
      </c>
    </row>
    <row r="177" spans="9:16" x14ac:dyDescent="0.25">
      <c r="I177" s="12" t="s">
        <v>41</v>
      </c>
      <c r="J177" s="12" t="s">
        <v>37</v>
      </c>
      <c r="K177" s="12" t="s">
        <v>20</v>
      </c>
      <c r="L177" s="43">
        <v>3388</v>
      </c>
      <c r="M177" s="44">
        <v>123</v>
      </c>
      <c r="N177" s="43">
        <f>_xlfn.XLOOKUP(Data5[[#This Row],[Product]],products7[Product],products7[Cost per unit])</f>
        <v>10.62</v>
      </c>
      <c r="O177" s="43">
        <f>Data5[[#This Row],[Units]]*Data5[[#This Row],[Cost per unit]]</f>
        <v>1306.26</v>
      </c>
      <c r="P177" s="43">
        <f>Data5[[#This Row],[Amount]]-Data5[[#This Row],[Total Cost]]</f>
        <v>2081.7399999999998</v>
      </c>
    </row>
    <row r="178" spans="9:16" x14ac:dyDescent="0.25">
      <c r="I178" s="12" t="s">
        <v>40</v>
      </c>
      <c r="J178" s="12" t="s">
        <v>38</v>
      </c>
      <c r="K178" s="12" t="s">
        <v>24</v>
      </c>
      <c r="L178" s="43">
        <v>623</v>
      </c>
      <c r="M178" s="44">
        <v>51</v>
      </c>
      <c r="N178" s="43">
        <f>_xlfn.XLOOKUP(Data5[[#This Row],[Product]],products7[Product],products7[Cost per unit])</f>
        <v>4.97</v>
      </c>
      <c r="O178" s="43">
        <f>Data5[[#This Row],[Units]]*Data5[[#This Row],[Cost per unit]]</f>
        <v>253.47</v>
      </c>
      <c r="P178" s="43">
        <f>Data5[[#This Row],[Amount]]-Data5[[#This Row],[Total Cost]]</f>
        <v>369.53</v>
      </c>
    </row>
    <row r="179" spans="9:16" x14ac:dyDescent="0.25">
      <c r="I179" s="12" t="s">
        <v>6</v>
      </c>
      <c r="J179" s="12" t="s">
        <v>36</v>
      </c>
      <c r="K179" s="12" t="s">
        <v>4</v>
      </c>
      <c r="L179" s="43">
        <v>10073</v>
      </c>
      <c r="M179" s="44">
        <v>120</v>
      </c>
      <c r="N179" s="43">
        <f>_xlfn.XLOOKUP(Data5[[#This Row],[Product]],products7[Product],products7[Cost per unit])</f>
        <v>11.88</v>
      </c>
      <c r="O179" s="43">
        <f>Data5[[#This Row],[Units]]*Data5[[#This Row],[Cost per unit]]</f>
        <v>1425.6000000000001</v>
      </c>
      <c r="P179" s="43">
        <f>Data5[[#This Row],[Amount]]-Data5[[#This Row],[Total Cost]]</f>
        <v>8647.4</v>
      </c>
    </row>
    <row r="180" spans="9:16" x14ac:dyDescent="0.25">
      <c r="I180" s="12" t="s">
        <v>8</v>
      </c>
      <c r="J180" s="12" t="s">
        <v>39</v>
      </c>
      <c r="K180" s="12" t="s">
        <v>26</v>
      </c>
      <c r="L180" s="43">
        <v>1561</v>
      </c>
      <c r="M180" s="44">
        <v>27</v>
      </c>
      <c r="N180" s="43">
        <f>_xlfn.XLOOKUP(Data5[[#This Row],[Product]],products7[Product],products7[Cost per unit])</f>
        <v>5.6</v>
      </c>
      <c r="O180" s="43">
        <f>Data5[[#This Row],[Units]]*Data5[[#This Row],[Cost per unit]]</f>
        <v>151.19999999999999</v>
      </c>
      <c r="P180" s="43">
        <f>Data5[[#This Row],[Amount]]-Data5[[#This Row],[Total Cost]]</f>
        <v>1409.8</v>
      </c>
    </row>
    <row r="181" spans="9:16" x14ac:dyDescent="0.25">
      <c r="I181" s="12" t="s">
        <v>9</v>
      </c>
      <c r="J181" s="12" t="s">
        <v>36</v>
      </c>
      <c r="K181" s="12" t="s">
        <v>27</v>
      </c>
      <c r="L181" s="43">
        <v>11522</v>
      </c>
      <c r="M181" s="44">
        <v>204</v>
      </c>
      <c r="N181" s="43">
        <f>_xlfn.XLOOKUP(Data5[[#This Row],[Product]],products7[Product],products7[Cost per unit])</f>
        <v>16.73</v>
      </c>
      <c r="O181" s="43">
        <f>Data5[[#This Row],[Units]]*Data5[[#This Row],[Cost per unit]]</f>
        <v>3412.92</v>
      </c>
      <c r="P181" s="43">
        <f>Data5[[#This Row],[Amount]]-Data5[[#This Row],[Total Cost]]</f>
        <v>8109.08</v>
      </c>
    </row>
    <row r="182" spans="9:16" x14ac:dyDescent="0.25">
      <c r="I182" s="12" t="s">
        <v>6</v>
      </c>
      <c r="J182" s="12" t="s">
        <v>38</v>
      </c>
      <c r="K182" s="12" t="s">
        <v>13</v>
      </c>
      <c r="L182" s="43">
        <v>2317</v>
      </c>
      <c r="M182" s="44">
        <v>123</v>
      </c>
      <c r="N182" s="43">
        <f>_xlfn.XLOOKUP(Data5[[#This Row],[Product]],products7[Product],products7[Cost per unit])</f>
        <v>9.33</v>
      </c>
      <c r="O182" s="43">
        <f>Data5[[#This Row],[Units]]*Data5[[#This Row],[Cost per unit]]</f>
        <v>1147.5899999999999</v>
      </c>
      <c r="P182" s="43">
        <f>Data5[[#This Row],[Amount]]-Data5[[#This Row],[Total Cost]]</f>
        <v>1169.4100000000001</v>
      </c>
    </row>
    <row r="183" spans="9:16" x14ac:dyDescent="0.25">
      <c r="I183" s="12" t="s">
        <v>10</v>
      </c>
      <c r="J183" s="12" t="s">
        <v>37</v>
      </c>
      <c r="K183" s="12" t="s">
        <v>28</v>
      </c>
      <c r="L183" s="43">
        <v>3059</v>
      </c>
      <c r="M183" s="44">
        <v>27</v>
      </c>
      <c r="N183" s="43">
        <f>_xlfn.XLOOKUP(Data5[[#This Row],[Product]],products7[Product],products7[Cost per unit])</f>
        <v>10.38</v>
      </c>
      <c r="O183" s="43">
        <f>Data5[[#This Row],[Units]]*Data5[[#This Row],[Cost per unit]]</f>
        <v>280.26000000000005</v>
      </c>
      <c r="P183" s="43">
        <f>Data5[[#This Row],[Amount]]-Data5[[#This Row],[Total Cost]]</f>
        <v>2778.74</v>
      </c>
    </row>
    <row r="184" spans="9:16" x14ac:dyDescent="0.25">
      <c r="I184" s="12" t="s">
        <v>41</v>
      </c>
      <c r="J184" s="12" t="s">
        <v>37</v>
      </c>
      <c r="K184" s="12" t="s">
        <v>26</v>
      </c>
      <c r="L184" s="43">
        <v>2324</v>
      </c>
      <c r="M184" s="44">
        <v>177</v>
      </c>
      <c r="N184" s="43">
        <f>_xlfn.XLOOKUP(Data5[[#This Row],[Product]],products7[Product],products7[Cost per unit])</f>
        <v>5.6</v>
      </c>
      <c r="O184" s="43">
        <f>Data5[[#This Row],[Units]]*Data5[[#This Row],[Cost per unit]]</f>
        <v>991.19999999999993</v>
      </c>
      <c r="P184" s="43">
        <f>Data5[[#This Row],[Amount]]-Data5[[#This Row],[Total Cost]]</f>
        <v>1332.8000000000002</v>
      </c>
    </row>
    <row r="185" spans="9:16" x14ac:dyDescent="0.25">
      <c r="I185" s="12" t="s">
        <v>3</v>
      </c>
      <c r="J185" s="12" t="s">
        <v>39</v>
      </c>
      <c r="K185" s="12" t="s">
        <v>26</v>
      </c>
      <c r="L185" s="43">
        <v>4956</v>
      </c>
      <c r="M185" s="44">
        <v>171</v>
      </c>
      <c r="N185" s="43">
        <f>_xlfn.XLOOKUP(Data5[[#This Row],[Product]],products7[Product],products7[Cost per unit])</f>
        <v>5.6</v>
      </c>
      <c r="O185" s="43">
        <f>Data5[[#This Row],[Units]]*Data5[[#This Row],[Cost per unit]]</f>
        <v>957.59999999999991</v>
      </c>
      <c r="P185" s="43">
        <f>Data5[[#This Row],[Amount]]-Data5[[#This Row],[Total Cost]]</f>
        <v>3998.4</v>
      </c>
    </row>
    <row r="186" spans="9:16" x14ac:dyDescent="0.25">
      <c r="I186" s="12" t="s">
        <v>10</v>
      </c>
      <c r="J186" s="12" t="s">
        <v>34</v>
      </c>
      <c r="K186" s="12" t="s">
        <v>19</v>
      </c>
      <c r="L186" s="43">
        <v>5355</v>
      </c>
      <c r="M186" s="44">
        <v>204</v>
      </c>
      <c r="N186" s="43">
        <f>_xlfn.XLOOKUP(Data5[[#This Row],[Product]],products7[Product],products7[Cost per unit])</f>
        <v>7.64</v>
      </c>
      <c r="O186" s="43">
        <f>Data5[[#This Row],[Units]]*Data5[[#This Row],[Cost per unit]]</f>
        <v>1558.56</v>
      </c>
      <c r="P186" s="43">
        <f>Data5[[#This Row],[Amount]]-Data5[[#This Row],[Total Cost]]</f>
        <v>3796.44</v>
      </c>
    </row>
    <row r="187" spans="9:16" x14ac:dyDescent="0.25">
      <c r="I187" s="12" t="s">
        <v>3</v>
      </c>
      <c r="J187" s="12" t="s">
        <v>34</v>
      </c>
      <c r="K187" s="12" t="s">
        <v>14</v>
      </c>
      <c r="L187" s="43">
        <v>7259</v>
      </c>
      <c r="M187" s="44">
        <v>276</v>
      </c>
      <c r="N187" s="43">
        <f>_xlfn.XLOOKUP(Data5[[#This Row],[Product]],products7[Product],products7[Cost per unit])</f>
        <v>11.7</v>
      </c>
      <c r="O187" s="43">
        <f>Data5[[#This Row],[Units]]*Data5[[#This Row],[Cost per unit]]</f>
        <v>3229.2</v>
      </c>
      <c r="P187" s="43">
        <f>Data5[[#This Row],[Amount]]-Data5[[#This Row],[Total Cost]]</f>
        <v>4029.8</v>
      </c>
    </row>
    <row r="188" spans="9:16" x14ac:dyDescent="0.25">
      <c r="I188" s="12" t="s">
        <v>8</v>
      </c>
      <c r="J188" s="12" t="s">
        <v>37</v>
      </c>
      <c r="K188" s="12" t="s">
        <v>26</v>
      </c>
      <c r="L188" s="43">
        <v>6279</v>
      </c>
      <c r="M188" s="44">
        <v>45</v>
      </c>
      <c r="N188" s="43">
        <f>_xlfn.XLOOKUP(Data5[[#This Row],[Product]],products7[Product],products7[Cost per unit])</f>
        <v>5.6</v>
      </c>
      <c r="O188" s="43">
        <f>Data5[[#This Row],[Units]]*Data5[[#This Row],[Cost per unit]]</f>
        <v>251.99999999999997</v>
      </c>
      <c r="P188" s="43">
        <f>Data5[[#This Row],[Amount]]-Data5[[#This Row],[Total Cost]]</f>
        <v>6027</v>
      </c>
    </row>
    <row r="189" spans="9:16" x14ac:dyDescent="0.25">
      <c r="I189" s="12" t="s">
        <v>40</v>
      </c>
      <c r="J189" s="12" t="s">
        <v>38</v>
      </c>
      <c r="K189" s="12" t="s">
        <v>29</v>
      </c>
      <c r="L189" s="43">
        <v>2541</v>
      </c>
      <c r="M189" s="44">
        <v>45</v>
      </c>
      <c r="N189" s="43">
        <f>_xlfn.XLOOKUP(Data5[[#This Row],[Product]],products7[Product],products7[Cost per unit])</f>
        <v>7.16</v>
      </c>
      <c r="O189" s="43">
        <f>Data5[[#This Row],[Units]]*Data5[[#This Row],[Cost per unit]]</f>
        <v>322.2</v>
      </c>
      <c r="P189" s="43">
        <f>Data5[[#This Row],[Amount]]-Data5[[#This Row],[Total Cost]]</f>
        <v>2218.8000000000002</v>
      </c>
    </row>
    <row r="190" spans="9:16" x14ac:dyDescent="0.25">
      <c r="I190" s="12" t="s">
        <v>6</v>
      </c>
      <c r="J190" s="12" t="s">
        <v>35</v>
      </c>
      <c r="K190" s="12" t="s">
        <v>27</v>
      </c>
      <c r="L190" s="43">
        <v>3864</v>
      </c>
      <c r="M190" s="44">
        <v>177</v>
      </c>
      <c r="N190" s="43">
        <f>_xlfn.XLOOKUP(Data5[[#This Row],[Product]],products7[Product],products7[Cost per unit])</f>
        <v>16.73</v>
      </c>
      <c r="O190" s="43">
        <f>Data5[[#This Row],[Units]]*Data5[[#This Row],[Cost per unit]]</f>
        <v>2961.21</v>
      </c>
      <c r="P190" s="43">
        <f>Data5[[#This Row],[Amount]]-Data5[[#This Row],[Total Cost]]</f>
        <v>902.79</v>
      </c>
    </row>
    <row r="191" spans="9:16" x14ac:dyDescent="0.25">
      <c r="I191" s="12" t="s">
        <v>5</v>
      </c>
      <c r="J191" s="12" t="s">
        <v>36</v>
      </c>
      <c r="K191" s="12" t="s">
        <v>13</v>
      </c>
      <c r="L191" s="43">
        <v>6146</v>
      </c>
      <c r="M191" s="44">
        <v>63</v>
      </c>
      <c r="N191" s="43">
        <f>_xlfn.XLOOKUP(Data5[[#This Row],[Product]],products7[Product],products7[Cost per unit])</f>
        <v>9.33</v>
      </c>
      <c r="O191" s="43">
        <f>Data5[[#This Row],[Units]]*Data5[[#This Row],[Cost per unit]]</f>
        <v>587.79</v>
      </c>
      <c r="P191" s="43">
        <f>Data5[[#This Row],[Amount]]-Data5[[#This Row],[Total Cost]]</f>
        <v>5558.21</v>
      </c>
    </row>
    <row r="192" spans="9:16" x14ac:dyDescent="0.25">
      <c r="I192" s="12" t="s">
        <v>9</v>
      </c>
      <c r="J192" s="12" t="s">
        <v>39</v>
      </c>
      <c r="K192" s="12" t="s">
        <v>18</v>
      </c>
      <c r="L192" s="43">
        <v>2639</v>
      </c>
      <c r="M192" s="44">
        <v>204</v>
      </c>
      <c r="N192" s="43">
        <f>_xlfn.XLOOKUP(Data5[[#This Row],[Product]],products7[Product],products7[Cost per unit])</f>
        <v>6.47</v>
      </c>
      <c r="O192" s="43">
        <f>Data5[[#This Row],[Units]]*Data5[[#This Row],[Cost per unit]]</f>
        <v>1319.8799999999999</v>
      </c>
      <c r="P192" s="43">
        <f>Data5[[#This Row],[Amount]]-Data5[[#This Row],[Total Cost]]</f>
        <v>1319.1200000000001</v>
      </c>
    </row>
    <row r="193" spans="9:16" x14ac:dyDescent="0.25">
      <c r="I193" s="12" t="s">
        <v>8</v>
      </c>
      <c r="J193" s="12" t="s">
        <v>37</v>
      </c>
      <c r="K193" s="12" t="s">
        <v>22</v>
      </c>
      <c r="L193" s="43">
        <v>1890</v>
      </c>
      <c r="M193" s="44">
        <v>195</v>
      </c>
      <c r="N193" s="43">
        <f>_xlfn.XLOOKUP(Data5[[#This Row],[Product]],products7[Product],products7[Cost per unit])</f>
        <v>9.77</v>
      </c>
      <c r="O193" s="43">
        <f>Data5[[#This Row],[Units]]*Data5[[#This Row],[Cost per unit]]</f>
        <v>1905.1499999999999</v>
      </c>
      <c r="P193" s="43">
        <f>Data5[[#This Row],[Amount]]-Data5[[#This Row],[Total Cost]]</f>
        <v>-15.149999999999864</v>
      </c>
    </row>
    <row r="194" spans="9:16" x14ac:dyDescent="0.25">
      <c r="I194" s="12" t="s">
        <v>7</v>
      </c>
      <c r="J194" s="12" t="s">
        <v>34</v>
      </c>
      <c r="K194" s="12" t="s">
        <v>14</v>
      </c>
      <c r="L194" s="43">
        <v>1932</v>
      </c>
      <c r="M194" s="44">
        <v>369</v>
      </c>
      <c r="N194" s="43">
        <f>_xlfn.XLOOKUP(Data5[[#This Row],[Product]],products7[Product],products7[Cost per unit])</f>
        <v>11.7</v>
      </c>
      <c r="O194" s="43">
        <f>Data5[[#This Row],[Units]]*Data5[[#This Row],[Cost per unit]]</f>
        <v>4317.3</v>
      </c>
      <c r="P194" s="43">
        <f>Data5[[#This Row],[Amount]]-Data5[[#This Row],[Total Cost]]</f>
        <v>-2385.3000000000002</v>
      </c>
    </row>
    <row r="195" spans="9:16" x14ac:dyDescent="0.25">
      <c r="I195" s="12" t="s">
        <v>3</v>
      </c>
      <c r="J195" s="12" t="s">
        <v>34</v>
      </c>
      <c r="K195" s="12" t="s">
        <v>25</v>
      </c>
      <c r="L195" s="43">
        <v>6300</v>
      </c>
      <c r="M195" s="44">
        <v>42</v>
      </c>
      <c r="N195" s="43">
        <f>_xlfn.XLOOKUP(Data5[[#This Row],[Product]],products7[Product],products7[Cost per unit])</f>
        <v>13.15</v>
      </c>
      <c r="O195" s="43">
        <f>Data5[[#This Row],[Units]]*Data5[[#This Row],[Cost per unit]]</f>
        <v>552.30000000000007</v>
      </c>
      <c r="P195" s="43">
        <f>Data5[[#This Row],[Amount]]-Data5[[#This Row],[Total Cost]]</f>
        <v>5747.7</v>
      </c>
    </row>
    <row r="196" spans="9:16" x14ac:dyDescent="0.25">
      <c r="I196" s="12" t="s">
        <v>6</v>
      </c>
      <c r="J196" s="12" t="s">
        <v>37</v>
      </c>
      <c r="K196" s="12" t="s">
        <v>30</v>
      </c>
      <c r="L196" s="43">
        <v>560</v>
      </c>
      <c r="M196" s="44">
        <v>81</v>
      </c>
      <c r="N196" s="43">
        <f>_xlfn.XLOOKUP(Data5[[#This Row],[Product]],products7[Product],products7[Cost per unit])</f>
        <v>14.49</v>
      </c>
      <c r="O196" s="43">
        <f>Data5[[#This Row],[Units]]*Data5[[#This Row],[Cost per unit]]</f>
        <v>1173.69</v>
      </c>
      <c r="P196" s="43">
        <f>Data5[[#This Row],[Amount]]-Data5[[#This Row],[Total Cost]]</f>
        <v>-613.69000000000005</v>
      </c>
    </row>
    <row r="197" spans="9:16" x14ac:dyDescent="0.25">
      <c r="I197" s="12" t="s">
        <v>9</v>
      </c>
      <c r="J197" s="12" t="s">
        <v>37</v>
      </c>
      <c r="K197" s="12" t="s">
        <v>26</v>
      </c>
      <c r="L197" s="43">
        <v>2856</v>
      </c>
      <c r="M197" s="44">
        <v>246</v>
      </c>
      <c r="N197" s="43">
        <f>_xlfn.XLOOKUP(Data5[[#This Row],[Product]],products7[Product],products7[Cost per unit])</f>
        <v>5.6</v>
      </c>
      <c r="O197" s="43">
        <f>Data5[[#This Row],[Units]]*Data5[[#This Row],[Cost per unit]]</f>
        <v>1377.6</v>
      </c>
      <c r="P197" s="43">
        <f>Data5[[#This Row],[Amount]]-Data5[[#This Row],[Total Cost]]</f>
        <v>1478.4</v>
      </c>
    </row>
    <row r="198" spans="9:16" x14ac:dyDescent="0.25">
      <c r="I198" s="12" t="s">
        <v>9</v>
      </c>
      <c r="J198" s="12" t="s">
        <v>34</v>
      </c>
      <c r="K198" s="12" t="s">
        <v>17</v>
      </c>
      <c r="L198" s="43">
        <v>707</v>
      </c>
      <c r="M198" s="44">
        <v>174</v>
      </c>
      <c r="N198" s="43">
        <f>_xlfn.XLOOKUP(Data5[[#This Row],[Product]],products7[Product],products7[Cost per unit])</f>
        <v>3.11</v>
      </c>
      <c r="O198" s="43">
        <f>Data5[[#This Row],[Units]]*Data5[[#This Row],[Cost per unit]]</f>
        <v>541.14</v>
      </c>
      <c r="P198" s="43">
        <f>Data5[[#This Row],[Amount]]-Data5[[#This Row],[Total Cost]]</f>
        <v>165.86</v>
      </c>
    </row>
    <row r="199" spans="9:16" x14ac:dyDescent="0.25">
      <c r="I199" s="12" t="s">
        <v>8</v>
      </c>
      <c r="J199" s="12" t="s">
        <v>35</v>
      </c>
      <c r="K199" s="12" t="s">
        <v>30</v>
      </c>
      <c r="L199" s="43">
        <v>3598</v>
      </c>
      <c r="M199" s="44">
        <v>81</v>
      </c>
      <c r="N199" s="43">
        <f>_xlfn.XLOOKUP(Data5[[#This Row],[Product]],products7[Product],products7[Cost per unit])</f>
        <v>14.49</v>
      </c>
      <c r="O199" s="43">
        <f>Data5[[#This Row],[Units]]*Data5[[#This Row],[Cost per unit]]</f>
        <v>1173.69</v>
      </c>
      <c r="P199" s="43">
        <f>Data5[[#This Row],[Amount]]-Data5[[#This Row],[Total Cost]]</f>
        <v>2424.31</v>
      </c>
    </row>
    <row r="200" spans="9:16" x14ac:dyDescent="0.25">
      <c r="I200" s="12" t="s">
        <v>40</v>
      </c>
      <c r="J200" s="12" t="s">
        <v>35</v>
      </c>
      <c r="K200" s="12" t="s">
        <v>22</v>
      </c>
      <c r="L200" s="43">
        <v>6853</v>
      </c>
      <c r="M200" s="44">
        <v>372</v>
      </c>
      <c r="N200" s="43">
        <f>_xlfn.XLOOKUP(Data5[[#This Row],[Product]],products7[Product],products7[Cost per unit])</f>
        <v>9.77</v>
      </c>
      <c r="O200" s="43">
        <f>Data5[[#This Row],[Units]]*Data5[[#This Row],[Cost per unit]]</f>
        <v>3634.44</v>
      </c>
      <c r="P200" s="43">
        <f>Data5[[#This Row],[Amount]]-Data5[[#This Row],[Total Cost]]</f>
        <v>3218.56</v>
      </c>
    </row>
    <row r="201" spans="9:16" x14ac:dyDescent="0.25">
      <c r="I201" s="12" t="s">
        <v>40</v>
      </c>
      <c r="J201" s="12" t="s">
        <v>35</v>
      </c>
      <c r="K201" s="12" t="s">
        <v>16</v>
      </c>
      <c r="L201" s="43">
        <v>4725</v>
      </c>
      <c r="M201" s="44">
        <v>174</v>
      </c>
      <c r="N201" s="43">
        <f>_xlfn.XLOOKUP(Data5[[#This Row],[Product]],products7[Product],products7[Cost per unit])</f>
        <v>8.7899999999999991</v>
      </c>
      <c r="O201" s="43">
        <f>Data5[[#This Row],[Units]]*Data5[[#This Row],[Cost per unit]]</f>
        <v>1529.4599999999998</v>
      </c>
      <c r="P201" s="43">
        <f>Data5[[#This Row],[Amount]]-Data5[[#This Row],[Total Cost]]</f>
        <v>3195.54</v>
      </c>
    </row>
    <row r="202" spans="9:16" x14ac:dyDescent="0.25">
      <c r="I202" s="12" t="s">
        <v>41</v>
      </c>
      <c r="J202" s="12" t="s">
        <v>36</v>
      </c>
      <c r="K202" s="12" t="s">
        <v>32</v>
      </c>
      <c r="L202" s="43">
        <v>10304</v>
      </c>
      <c r="M202" s="44">
        <v>84</v>
      </c>
      <c r="N202" s="43">
        <f>_xlfn.XLOOKUP(Data5[[#This Row],[Product]],products7[Product],products7[Cost per unit])</f>
        <v>8.65</v>
      </c>
      <c r="O202" s="43">
        <f>Data5[[#This Row],[Units]]*Data5[[#This Row],[Cost per unit]]</f>
        <v>726.6</v>
      </c>
      <c r="P202" s="43">
        <f>Data5[[#This Row],[Amount]]-Data5[[#This Row],[Total Cost]]</f>
        <v>9577.4</v>
      </c>
    </row>
    <row r="203" spans="9:16" x14ac:dyDescent="0.25">
      <c r="I203" s="12" t="s">
        <v>41</v>
      </c>
      <c r="J203" s="12" t="s">
        <v>34</v>
      </c>
      <c r="K203" s="12" t="s">
        <v>16</v>
      </c>
      <c r="L203" s="43">
        <v>1274</v>
      </c>
      <c r="M203" s="44">
        <v>225</v>
      </c>
      <c r="N203" s="43">
        <f>_xlfn.XLOOKUP(Data5[[#This Row],[Product]],products7[Product],products7[Cost per unit])</f>
        <v>8.7899999999999991</v>
      </c>
      <c r="O203" s="43">
        <f>Data5[[#This Row],[Units]]*Data5[[#This Row],[Cost per unit]]</f>
        <v>1977.7499999999998</v>
      </c>
      <c r="P203" s="43">
        <f>Data5[[#This Row],[Amount]]-Data5[[#This Row],[Total Cost]]</f>
        <v>-703.74999999999977</v>
      </c>
    </row>
    <row r="204" spans="9:16" x14ac:dyDescent="0.25">
      <c r="I204" s="12" t="s">
        <v>5</v>
      </c>
      <c r="J204" s="12" t="s">
        <v>36</v>
      </c>
      <c r="K204" s="12" t="s">
        <v>30</v>
      </c>
      <c r="L204" s="43">
        <v>1526</v>
      </c>
      <c r="M204" s="44">
        <v>105</v>
      </c>
      <c r="N204" s="43">
        <f>_xlfn.XLOOKUP(Data5[[#This Row],[Product]],products7[Product],products7[Cost per unit])</f>
        <v>14.49</v>
      </c>
      <c r="O204" s="43">
        <f>Data5[[#This Row],[Units]]*Data5[[#This Row],[Cost per unit]]</f>
        <v>1521.45</v>
      </c>
      <c r="P204" s="43">
        <f>Data5[[#This Row],[Amount]]-Data5[[#This Row],[Total Cost]]</f>
        <v>4.5499999999999545</v>
      </c>
    </row>
    <row r="205" spans="9:16" x14ac:dyDescent="0.25">
      <c r="I205" s="12" t="s">
        <v>40</v>
      </c>
      <c r="J205" s="12" t="s">
        <v>39</v>
      </c>
      <c r="K205" s="12" t="s">
        <v>28</v>
      </c>
      <c r="L205" s="43">
        <v>3101</v>
      </c>
      <c r="M205" s="44">
        <v>225</v>
      </c>
      <c r="N205" s="43">
        <f>_xlfn.XLOOKUP(Data5[[#This Row],[Product]],products7[Product],products7[Cost per unit])</f>
        <v>10.38</v>
      </c>
      <c r="O205" s="43">
        <f>Data5[[#This Row],[Units]]*Data5[[#This Row],[Cost per unit]]</f>
        <v>2335.5</v>
      </c>
      <c r="P205" s="43">
        <f>Data5[[#This Row],[Amount]]-Data5[[#This Row],[Total Cost]]</f>
        <v>765.5</v>
      </c>
    </row>
    <row r="206" spans="9:16" x14ac:dyDescent="0.25">
      <c r="I206" s="12" t="s">
        <v>2</v>
      </c>
      <c r="J206" s="12" t="s">
        <v>37</v>
      </c>
      <c r="K206" s="12" t="s">
        <v>14</v>
      </c>
      <c r="L206" s="43">
        <v>1057</v>
      </c>
      <c r="M206" s="44">
        <v>54</v>
      </c>
      <c r="N206" s="43">
        <f>_xlfn.XLOOKUP(Data5[[#This Row],[Product]],products7[Product],products7[Cost per unit])</f>
        <v>11.7</v>
      </c>
      <c r="O206" s="43">
        <f>Data5[[#This Row],[Units]]*Data5[[#This Row],[Cost per unit]]</f>
        <v>631.79999999999995</v>
      </c>
      <c r="P206" s="43">
        <f>Data5[[#This Row],[Amount]]-Data5[[#This Row],[Total Cost]]</f>
        <v>425.20000000000005</v>
      </c>
    </row>
    <row r="207" spans="9:16" x14ac:dyDescent="0.25">
      <c r="I207" s="12" t="s">
        <v>5</v>
      </c>
      <c r="J207" s="12" t="s">
        <v>39</v>
      </c>
      <c r="K207" s="12" t="s">
        <v>24</v>
      </c>
      <c r="L207" s="43">
        <v>4018</v>
      </c>
      <c r="M207" s="44">
        <v>171</v>
      </c>
      <c r="N207" s="43">
        <f>_xlfn.XLOOKUP(Data5[[#This Row],[Product]],products7[Product],products7[Cost per unit])</f>
        <v>4.97</v>
      </c>
      <c r="O207" s="43">
        <f>Data5[[#This Row],[Units]]*Data5[[#This Row],[Cost per unit]]</f>
        <v>849.87</v>
      </c>
      <c r="P207" s="43">
        <f>Data5[[#This Row],[Amount]]-Data5[[#This Row],[Total Cost]]</f>
        <v>3168.13</v>
      </c>
    </row>
    <row r="208" spans="9:16" x14ac:dyDescent="0.25">
      <c r="I208" s="12" t="s">
        <v>9</v>
      </c>
      <c r="J208" s="12" t="s">
        <v>34</v>
      </c>
      <c r="K208" s="12" t="s">
        <v>16</v>
      </c>
      <c r="L208" s="43">
        <v>938</v>
      </c>
      <c r="M208" s="44">
        <v>189</v>
      </c>
      <c r="N208" s="43">
        <f>_xlfn.XLOOKUP(Data5[[#This Row],[Product]],products7[Product],products7[Cost per unit])</f>
        <v>8.7899999999999991</v>
      </c>
      <c r="O208" s="43">
        <f>Data5[[#This Row],[Units]]*Data5[[#This Row],[Cost per unit]]</f>
        <v>1661.31</v>
      </c>
      <c r="P208" s="43">
        <f>Data5[[#This Row],[Amount]]-Data5[[#This Row],[Total Cost]]</f>
        <v>-723.31</v>
      </c>
    </row>
    <row r="209" spans="9:16" x14ac:dyDescent="0.25">
      <c r="I209" s="12" t="s">
        <v>7</v>
      </c>
      <c r="J209" s="12" t="s">
        <v>38</v>
      </c>
      <c r="K209" s="12" t="s">
        <v>18</v>
      </c>
      <c r="L209" s="43">
        <v>1778</v>
      </c>
      <c r="M209" s="44">
        <v>270</v>
      </c>
      <c r="N209" s="43">
        <f>_xlfn.XLOOKUP(Data5[[#This Row],[Product]],products7[Product],products7[Cost per unit])</f>
        <v>6.47</v>
      </c>
      <c r="O209" s="43">
        <f>Data5[[#This Row],[Units]]*Data5[[#This Row],[Cost per unit]]</f>
        <v>1746.8999999999999</v>
      </c>
      <c r="P209" s="43">
        <f>Data5[[#This Row],[Amount]]-Data5[[#This Row],[Total Cost]]</f>
        <v>31.100000000000136</v>
      </c>
    </row>
    <row r="210" spans="9:16" x14ac:dyDescent="0.25">
      <c r="I210" s="12" t="s">
        <v>6</v>
      </c>
      <c r="J210" s="12" t="s">
        <v>39</v>
      </c>
      <c r="K210" s="12" t="s">
        <v>30</v>
      </c>
      <c r="L210" s="43">
        <v>1638</v>
      </c>
      <c r="M210" s="44">
        <v>63</v>
      </c>
      <c r="N210" s="43">
        <f>_xlfn.XLOOKUP(Data5[[#This Row],[Product]],products7[Product],products7[Cost per unit])</f>
        <v>14.49</v>
      </c>
      <c r="O210" s="43">
        <f>Data5[[#This Row],[Units]]*Data5[[#This Row],[Cost per unit]]</f>
        <v>912.87</v>
      </c>
      <c r="P210" s="43">
        <f>Data5[[#This Row],[Amount]]-Data5[[#This Row],[Total Cost]]</f>
        <v>725.13</v>
      </c>
    </row>
    <row r="211" spans="9:16" x14ac:dyDescent="0.25">
      <c r="I211" s="12" t="s">
        <v>41</v>
      </c>
      <c r="J211" s="12" t="s">
        <v>38</v>
      </c>
      <c r="K211" s="12" t="s">
        <v>25</v>
      </c>
      <c r="L211" s="43">
        <v>154</v>
      </c>
      <c r="M211" s="44">
        <v>21</v>
      </c>
      <c r="N211" s="43">
        <f>_xlfn.XLOOKUP(Data5[[#This Row],[Product]],products7[Product],products7[Cost per unit])</f>
        <v>13.15</v>
      </c>
      <c r="O211" s="43">
        <f>Data5[[#This Row],[Units]]*Data5[[#This Row],[Cost per unit]]</f>
        <v>276.15000000000003</v>
      </c>
      <c r="P211" s="43">
        <f>Data5[[#This Row],[Amount]]-Data5[[#This Row],[Total Cost]]</f>
        <v>-122.15000000000003</v>
      </c>
    </row>
    <row r="212" spans="9:16" x14ac:dyDescent="0.25">
      <c r="I212" s="12" t="s">
        <v>7</v>
      </c>
      <c r="J212" s="12" t="s">
        <v>37</v>
      </c>
      <c r="K212" s="12" t="s">
        <v>22</v>
      </c>
      <c r="L212" s="43">
        <v>9835</v>
      </c>
      <c r="M212" s="44">
        <v>207</v>
      </c>
      <c r="N212" s="43">
        <f>_xlfn.XLOOKUP(Data5[[#This Row],[Product]],products7[Product],products7[Cost per unit])</f>
        <v>9.77</v>
      </c>
      <c r="O212" s="43">
        <f>Data5[[#This Row],[Units]]*Data5[[#This Row],[Cost per unit]]</f>
        <v>2022.3899999999999</v>
      </c>
      <c r="P212" s="43">
        <f>Data5[[#This Row],[Amount]]-Data5[[#This Row],[Total Cost]]</f>
        <v>7812.6100000000006</v>
      </c>
    </row>
    <row r="213" spans="9:16" x14ac:dyDescent="0.25">
      <c r="I213" s="12" t="s">
        <v>9</v>
      </c>
      <c r="J213" s="12" t="s">
        <v>37</v>
      </c>
      <c r="K213" s="12" t="s">
        <v>20</v>
      </c>
      <c r="L213" s="43">
        <v>7273</v>
      </c>
      <c r="M213" s="44">
        <v>96</v>
      </c>
      <c r="N213" s="43">
        <f>_xlfn.XLOOKUP(Data5[[#This Row],[Product]],products7[Product],products7[Cost per unit])</f>
        <v>10.62</v>
      </c>
      <c r="O213" s="43">
        <f>Data5[[#This Row],[Units]]*Data5[[#This Row],[Cost per unit]]</f>
        <v>1019.52</v>
      </c>
      <c r="P213" s="43">
        <f>Data5[[#This Row],[Amount]]-Data5[[#This Row],[Total Cost]]</f>
        <v>6253.48</v>
      </c>
    </row>
    <row r="214" spans="9:16" x14ac:dyDescent="0.25">
      <c r="I214" s="12" t="s">
        <v>5</v>
      </c>
      <c r="J214" s="12" t="s">
        <v>39</v>
      </c>
      <c r="K214" s="12" t="s">
        <v>22</v>
      </c>
      <c r="L214" s="43">
        <v>6909</v>
      </c>
      <c r="M214" s="44">
        <v>81</v>
      </c>
      <c r="N214" s="43">
        <f>_xlfn.XLOOKUP(Data5[[#This Row],[Product]],products7[Product],products7[Cost per unit])</f>
        <v>9.77</v>
      </c>
      <c r="O214" s="43">
        <f>Data5[[#This Row],[Units]]*Data5[[#This Row],[Cost per unit]]</f>
        <v>791.37</v>
      </c>
      <c r="P214" s="43">
        <f>Data5[[#This Row],[Amount]]-Data5[[#This Row],[Total Cost]]</f>
        <v>6117.63</v>
      </c>
    </row>
    <row r="215" spans="9:16" x14ac:dyDescent="0.25">
      <c r="I215" s="12" t="s">
        <v>9</v>
      </c>
      <c r="J215" s="12" t="s">
        <v>39</v>
      </c>
      <c r="K215" s="12" t="s">
        <v>24</v>
      </c>
      <c r="L215" s="43">
        <v>3920</v>
      </c>
      <c r="M215" s="44">
        <v>306</v>
      </c>
      <c r="N215" s="43">
        <f>_xlfn.XLOOKUP(Data5[[#This Row],[Product]],products7[Product],products7[Cost per unit])</f>
        <v>4.97</v>
      </c>
      <c r="O215" s="43">
        <f>Data5[[#This Row],[Units]]*Data5[[#This Row],[Cost per unit]]</f>
        <v>1520.82</v>
      </c>
      <c r="P215" s="43">
        <f>Data5[[#This Row],[Amount]]-Data5[[#This Row],[Total Cost]]</f>
        <v>2399.1800000000003</v>
      </c>
    </row>
    <row r="216" spans="9:16" x14ac:dyDescent="0.25">
      <c r="I216" s="12" t="s">
        <v>10</v>
      </c>
      <c r="J216" s="12" t="s">
        <v>39</v>
      </c>
      <c r="K216" s="12" t="s">
        <v>21</v>
      </c>
      <c r="L216" s="43">
        <v>4858</v>
      </c>
      <c r="M216" s="44">
        <v>279</v>
      </c>
      <c r="N216" s="43">
        <f>_xlfn.XLOOKUP(Data5[[#This Row],[Product]],products7[Product],products7[Cost per unit])</f>
        <v>9</v>
      </c>
      <c r="O216" s="43">
        <f>Data5[[#This Row],[Units]]*Data5[[#This Row],[Cost per unit]]</f>
        <v>2511</v>
      </c>
      <c r="P216" s="43">
        <f>Data5[[#This Row],[Amount]]-Data5[[#This Row],[Total Cost]]</f>
        <v>2347</v>
      </c>
    </row>
    <row r="217" spans="9:16" x14ac:dyDescent="0.25">
      <c r="I217" s="12" t="s">
        <v>2</v>
      </c>
      <c r="J217" s="12" t="s">
        <v>38</v>
      </c>
      <c r="K217" s="12" t="s">
        <v>4</v>
      </c>
      <c r="L217" s="43">
        <v>3549</v>
      </c>
      <c r="M217" s="44">
        <v>3</v>
      </c>
      <c r="N217" s="43">
        <f>_xlfn.XLOOKUP(Data5[[#This Row],[Product]],products7[Product],products7[Cost per unit])</f>
        <v>11.88</v>
      </c>
      <c r="O217" s="43">
        <f>Data5[[#This Row],[Units]]*Data5[[#This Row],[Cost per unit]]</f>
        <v>35.64</v>
      </c>
      <c r="P217" s="43">
        <f>Data5[[#This Row],[Amount]]-Data5[[#This Row],[Total Cost]]</f>
        <v>3513.36</v>
      </c>
    </row>
    <row r="218" spans="9:16" x14ac:dyDescent="0.25">
      <c r="I218" s="12" t="s">
        <v>7</v>
      </c>
      <c r="J218" s="12" t="s">
        <v>39</v>
      </c>
      <c r="K218" s="12" t="s">
        <v>27</v>
      </c>
      <c r="L218" s="43">
        <v>966</v>
      </c>
      <c r="M218" s="44">
        <v>198</v>
      </c>
      <c r="N218" s="43">
        <f>_xlfn.XLOOKUP(Data5[[#This Row],[Product]],products7[Product],products7[Cost per unit])</f>
        <v>16.73</v>
      </c>
      <c r="O218" s="43">
        <f>Data5[[#This Row],[Units]]*Data5[[#This Row],[Cost per unit]]</f>
        <v>3312.54</v>
      </c>
      <c r="P218" s="43">
        <f>Data5[[#This Row],[Amount]]-Data5[[#This Row],[Total Cost]]</f>
        <v>-2346.54</v>
      </c>
    </row>
    <row r="219" spans="9:16" x14ac:dyDescent="0.25">
      <c r="I219" s="12" t="s">
        <v>5</v>
      </c>
      <c r="J219" s="12" t="s">
        <v>39</v>
      </c>
      <c r="K219" s="12" t="s">
        <v>18</v>
      </c>
      <c r="L219" s="43">
        <v>385</v>
      </c>
      <c r="M219" s="44">
        <v>249</v>
      </c>
      <c r="N219" s="43">
        <f>_xlfn.XLOOKUP(Data5[[#This Row],[Product]],products7[Product],products7[Cost per unit])</f>
        <v>6.47</v>
      </c>
      <c r="O219" s="43">
        <f>Data5[[#This Row],[Units]]*Data5[[#This Row],[Cost per unit]]</f>
        <v>1611.03</v>
      </c>
      <c r="P219" s="43">
        <f>Data5[[#This Row],[Amount]]-Data5[[#This Row],[Total Cost]]</f>
        <v>-1226.03</v>
      </c>
    </row>
    <row r="220" spans="9:16" x14ac:dyDescent="0.25">
      <c r="I220" s="12" t="s">
        <v>6</v>
      </c>
      <c r="J220" s="12" t="s">
        <v>34</v>
      </c>
      <c r="K220" s="12" t="s">
        <v>16</v>
      </c>
      <c r="L220" s="43">
        <v>2219</v>
      </c>
      <c r="M220" s="44">
        <v>75</v>
      </c>
      <c r="N220" s="43">
        <f>_xlfn.XLOOKUP(Data5[[#This Row],[Product]],products7[Product],products7[Cost per unit])</f>
        <v>8.7899999999999991</v>
      </c>
      <c r="O220" s="43">
        <f>Data5[[#This Row],[Units]]*Data5[[#This Row],[Cost per unit]]</f>
        <v>659.24999999999989</v>
      </c>
      <c r="P220" s="43">
        <f>Data5[[#This Row],[Amount]]-Data5[[#This Row],[Total Cost]]</f>
        <v>1559.75</v>
      </c>
    </row>
    <row r="221" spans="9:16" x14ac:dyDescent="0.25">
      <c r="I221" s="12" t="s">
        <v>9</v>
      </c>
      <c r="J221" s="12" t="s">
        <v>36</v>
      </c>
      <c r="K221" s="12" t="s">
        <v>32</v>
      </c>
      <c r="L221" s="43">
        <v>2954</v>
      </c>
      <c r="M221" s="44">
        <v>189</v>
      </c>
      <c r="N221" s="43">
        <f>_xlfn.XLOOKUP(Data5[[#This Row],[Product]],products7[Product],products7[Cost per unit])</f>
        <v>8.65</v>
      </c>
      <c r="O221" s="43">
        <f>Data5[[#This Row],[Units]]*Data5[[#This Row],[Cost per unit]]</f>
        <v>1634.8500000000001</v>
      </c>
      <c r="P221" s="43">
        <f>Data5[[#This Row],[Amount]]-Data5[[#This Row],[Total Cost]]</f>
        <v>1319.1499999999999</v>
      </c>
    </row>
    <row r="222" spans="9:16" x14ac:dyDescent="0.25">
      <c r="I222" s="12" t="s">
        <v>7</v>
      </c>
      <c r="J222" s="12" t="s">
        <v>36</v>
      </c>
      <c r="K222" s="12" t="s">
        <v>32</v>
      </c>
      <c r="L222" s="43">
        <v>280</v>
      </c>
      <c r="M222" s="44">
        <v>87</v>
      </c>
      <c r="N222" s="43">
        <f>_xlfn.XLOOKUP(Data5[[#This Row],[Product]],products7[Product],products7[Cost per unit])</f>
        <v>8.65</v>
      </c>
      <c r="O222" s="43">
        <f>Data5[[#This Row],[Units]]*Data5[[#This Row],[Cost per unit]]</f>
        <v>752.55000000000007</v>
      </c>
      <c r="P222" s="43">
        <f>Data5[[#This Row],[Amount]]-Data5[[#This Row],[Total Cost]]</f>
        <v>-472.55000000000007</v>
      </c>
    </row>
    <row r="223" spans="9:16" x14ac:dyDescent="0.25">
      <c r="I223" s="12" t="s">
        <v>41</v>
      </c>
      <c r="J223" s="12" t="s">
        <v>36</v>
      </c>
      <c r="K223" s="12" t="s">
        <v>30</v>
      </c>
      <c r="L223" s="43">
        <v>6118</v>
      </c>
      <c r="M223" s="44">
        <v>174</v>
      </c>
      <c r="N223" s="43">
        <f>_xlfn.XLOOKUP(Data5[[#This Row],[Product]],products7[Product],products7[Cost per unit])</f>
        <v>14.49</v>
      </c>
      <c r="O223" s="43">
        <f>Data5[[#This Row],[Units]]*Data5[[#This Row],[Cost per unit]]</f>
        <v>2521.2600000000002</v>
      </c>
      <c r="P223" s="43">
        <f>Data5[[#This Row],[Amount]]-Data5[[#This Row],[Total Cost]]</f>
        <v>3596.74</v>
      </c>
    </row>
    <row r="224" spans="9:16" x14ac:dyDescent="0.25">
      <c r="I224" s="12" t="s">
        <v>2</v>
      </c>
      <c r="J224" s="12" t="s">
        <v>39</v>
      </c>
      <c r="K224" s="12" t="s">
        <v>15</v>
      </c>
      <c r="L224" s="43">
        <v>4802</v>
      </c>
      <c r="M224" s="44">
        <v>36</v>
      </c>
      <c r="N224" s="43">
        <f>_xlfn.XLOOKUP(Data5[[#This Row],[Product]],products7[Product],products7[Cost per unit])</f>
        <v>11.73</v>
      </c>
      <c r="O224" s="43">
        <f>Data5[[#This Row],[Units]]*Data5[[#This Row],[Cost per unit]]</f>
        <v>422.28000000000003</v>
      </c>
      <c r="P224" s="43">
        <f>Data5[[#This Row],[Amount]]-Data5[[#This Row],[Total Cost]]</f>
        <v>4379.72</v>
      </c>
    </row>
    <row r="225" spans="9:16" x14ac:dyDescent="0.25">
      <c r="I225" s="12" t="s">
        <v>9</v>
      </c>
      <c r="J225" s="12" t="s">
        <v>38</v>
      </c>
      <c r="K225" s="12" t="s">
        <v>24</v>
      </c>
      <c r="L225" s="43">
        <v>4137</v>
      </c>
      <c r="M225" s="44">
        <v>60</v>
      </c>
      <c r="N225" s="43">
        <f>_xlfn.XLOOKUP(Data5[[#This Row],[Product]],products7[Product],products7[Cost per unit])</f>
        <v>4.97</v>
      </c>
      <c r="O225" s="43">
        <f>Data5[[#This Row],[Units]]*Data5[[#This Row],[Cost per unit]]</f>
        <v>298.2</v>
      </c>
      <c r="P225" s="43">
        <f>Data5[[#This Row],[Amount]]-Data5[[#This Row],[Total Cost]]</f>
        <v>3838.8</v>
      </c>
    </row>
    <row r="226" spans="9:16" x14ac:dyDescent="0.25">
      <c r="I226" s="12" t="s">
        <v>3</v>
      </c>
      <c r="J226" s="12" t="s">
        <v>35</v>
      </c>
      <c r="K226" s="12" t="s">
        <v>23</v>
      </c>
      <c r="L226" s="43">
        <v>2023</v>
      </c>
      <c r="M226" s="44">
        <v>78</v>
      </c>
      <c r="N226" s="43">
        <f>_xlfn.XLOOKUP(Data5[[#This Row],[Product]],products7[Product],products7[Cost per unit])</f>
        <v>6.49</v>
      </c>
      <c r="O226" s="43">
        <f>Data5[[#This Row],[Units]]*Data5[[#This Row],[Cost per unit]]</f>
        <v>506.22</v>
      </c>
      <c r="P226" s="43">
        <f>Data5[[#This Row],[Amount]]-Data5[[#This Row],[Total Cost]]</f>
        <v>1516.78</v>
      </c>
    </row>
    <row r="227" spans="9:16" x14ac:dyDescent="0.25">
      <c r="I227" s="12" t="s">
        <v>9</v>
      </c>
      <c r="J227" s="12" t="s">
        <v>36</v>
      </c>
      <c r="K227" s="12" t="s">
        <v>30</v>
      </c>
      <c r="L227" s="43">
        <v>9051</v>
      </c>
      <c r="M227" s="44">
        <v>57</v>
      </c>
      <c r="N227" s="43">
        <f>_xlfn.XLOOKUP(Data5[[#This Row],[Product]],products7[Product],products7[Cost per unit])</f>
        <v>14.49</v>
      </c>
      <c r="O227" s="43">
        <f>Data5[[#This Row],[Units]]*Data5[[#This Row],[Cost per unit]]</f>
        <v>825.93000000000006</v>
      </c>
      <c r="P227" s="43">
        <f>Data5[[#This Row],[Amount]]-Data5[[#This Row],[Total Cost]]</f>
        <v>8225.07</v>
      </c>
    </row>
    <row r="228" spans="9:16" x14ac:dyDescent="0.25">
      <c r="I228" s="12" t="s">
        <v>9</v>
      </c>
      <c r="J228" s="12" t="s">
        <v>37</v>
      </c>
      <c r="K228" s="12" t="s">
        <v>28</v>
      </c>
      <c r="L228" s="43">
        <v>2919</v>
      </c>
      <c r="M228" s="44">
        <v>45</v>
      </c>
      <c r="N228" s="43">
        <f>_xlfn.XLOOKUP(Data5[[#This Row],[Product]],products7[Product],products7[Cost per unit])</f>
        <v>10.38</v>
      </c>
      <c r="O228" s="43">
        <f>Data5[[#This Row],[Units]]*Data5[[#This Row],[Cost per unit]]</f>
        <v>467.1</v>
      </c>
      <c r="P228" s="43">
        <f>Data5[[#This Row],[Amount]]-Data5[[#This Row],[Total Cost]]</f>
        <v>2451.9</v>
      </c>
    </row>
    <row r="229" spans="9:16" x14ac:dyDescent="0.25">
      <c r="I229" s="12" t="s">
        <v>41</v>
      </c>
      <c r="J229" s="12" t="s">
        <v>38</v>
      </c>
      <c r="K229" s="12" t="s">
        <v>22</v>
      </c>
      <c r="L229" s="43">
        <v>5915</v>
      </c>
      <c r="M229" s="44">
        <v>3</v>
      </c>
      <c r="N229" s="43">
        <f>_xlfn.XLOOKUP(Data5[[#This Row],[Product]],products7[Product],products7[Cost per unit])</f>
        <v>9.77</v>
      </c>
      <c r="O229" s="43">
        <f>Data5[[#This Row],[Units]]*Data5[[#This Row],[Cost per unit]]</f>
        <v>29.31</v>
      </c>
      <c r="P229" s="43">
        <f>Data5[[#This Row],[Amount]]-Data5[[#This Row],[Total Cost]]</f>
        <v>5885.69</v>
      </c>
    </row>
    <row r="230" spans="9:16" x14ac:dyDescent="0.25">
      <c r="I230" s="12" t="s">
        <v>10</v>
      </c>
      <c r="J230" s="12" t="s">
        <v>35</v>
      </c>
      <c r="K230" s="12" t="s">
        <v>15</v>
      </c>
      <c r="L230" s="43">
        <v>2562</v>
      </c>
      <c r="M230" s="44">
        <v>6</v>
      </c>
      <c r="N230" s="43">
        <f>_xlfn.XLOOKUP(Data5[[#This Row],[Product]],products7[Product],products7[Cost per unit])</f>
        <v>11.73</v>
      </c>
      <c r="O230" s="43">
        <f>Data5[[#This Row],[Units]]*Data5[[#This Row],[Cost per unit]]</f>
        <v>70.38</v>
      </c>
      <c r="P230" s="43">
        <f>Data5[[#This Row],[Amount]]-Data5[[#This Row],[Total Cost]]</f>
        <v>2491.62</v>
      </c>
    </row>
    <row r="231" spans="9:16" x14ac:dyDescent="0.25">
      <c r="I231" s="12" t="s">
        <v>5</v>
      </c>
      <c r="J231" s="12" t="s">
        <v>37</v>
      </c>
      <c r="K231" s="12" t="s">
        <v>25</v>
      </c>
      <c r="L231" s="43">
        <v>8813</v>
      </c>
      <c r="M231" s="44">
        <v>21</v>
      </c>
      <c r="N231" s="43">
        <f>_xlfn.XLOOKUP(Data5[[#This Row],[Product]],products7[Product],products7[Cost per unit])</f>
        <v>13.15</v>
      </c>
      <c r="O231" s="43">
        <f>Data5[[#This Row],[Units]]*Data5[[#This Row],[Cost per unit]]</f>
        <v>276.15000000000003</v>
      </c>
      <c r="P231" s="43">
        <f>Data5[[#This Row],[Amount]]-Data5[[#This Row],[Total Cost]]</f>
        <v>8536.85</v>
      </c>
    </row>
    <row r="232" spans="9:16" x14ac:dyDescent="0.25">
      <c r="I232" s="12" t="s">
        <v>5</v>
      </c>
      <c r="J232" s="12" t="s">
        <v>36</v>
      </c>
      <c r="K232" s="12" t="s">
        <v>18</v>
      </c>
      <c r="L232" s="43">
        <v>6111</v>
      </c>
      <c r="M232" s="44">
        <v>3</v>
      </c>
      <c r="N232" s="43">
        <f>_xlfn.XLOOKUP(Data5[[#This Row],[Product]],products7[Product],products7[Cost per unit])</f>
        <v>6.47</v>
      </c>
      <c r="O232" s="43">
        <f>Data5[[#This Row],[Units]]*Data5[[#This Row],[Cost per unit]]</f>
        <v>19.41</v>
      </c>
      <c r="P232" s="43">
        <f>Data5[[#This Row],[Amount]]-Data5[[#This Row],[Total Cost]]</f>
        <v>6091.59</v>
      </c>
    </row>
    <row r="233" spans="9:16" x14ac:dyDescent="0.25">
      <c r="I233" s="12" t="s">
        <v>8</v>
      </c>
      <c r="J233" s="12" t="s">
        <v>34</v>
      </c>
      <c r="K233" s="12" t="s">
        <v>31</v>
      </c>
      <c r="L233" s="43">
        <v>3507</v>
      </c>
      <c r="M233" s="44">
        <v>288</v>
      </c>
      <c r="N233" s="43">
        <f>_xlfn.XLOOKUP(Data5[[#This Row],[Product]],products7[Product],products7[Cost per unit])</f>
        <v>5.79</v>
      </c>
      <c r="O233" s="43">
        <f>Data5[[#This Row],[Units]]*Data5[[#This Row],[Cost per unit]]</f>
        <v>1667.52</v>
      </c>
      <c r="P233" s="43">
        <f>Data5[[#This Row],[Amount]]-Data5[[#This Row],[Total Cost]]</f>
        <v>1839.48</v>
      </c>
    </row>
    <row r="234" spans="9:16" x14ac:dyDescent="0.25">
      <c r="I234" s="12" t="s">
        <v>6</v>
      </c>
      <c r="J234" s="12" t="s">
        <v>36</v>
      </c>
      <c r="K234" s="12" t="s">
        <v>13</v>
      </c>
      <c r="L234" s="43">
        <v>4319</v>
      </c>
      <c r="M234" s="44">
        <v>30</v>
      </c>
      <c r="N234" s="43">
        <f>_xlfn.XLOOKUP(Data5[[#This Row],[Product]],products7[Product],products7[Cost per unit])</f>
        <v>9.33</v>
      </c>
      <c r="O234" s="43">
        <f>Data5[[#This Row],[Units]]*Data5[[#This Row],[Cost per unit]]</f>
        <v>279.89999999999998</v>
      </c>
      <c r="P234" s="43">
        <f>Data5[[#This Row],[Amount]]-Data5[[#This Row],[Total Cost]]</f>
        <v>4039.1</v>
      </c>
    </row>
    <row r="235" spans="9:16" x14ac:dyDescent="0.25">
      <c r="I235" s="12" t="s">
        <v>40</v>
      </c>
      <c r="J235" s="12" t="s">
        <v>38</v>
      </c>
      <c r="K235" s="12" t="s">
        <v>26</v>
      </c>
      <c r="L235" s="43">
        <v>609</v>
      </c>
      <c r="M235" s="44">
        <v>87</v>
      </c>
      <c r="N235" s="43">
        <f>_xlfn.XLOOKUP(Data5[[#This Row],[Product]],products7[Product],products7[Cost per unit])</f>
        <v>5.6</v>
      </c>
      <c r="O235" s="43">
        <f>Data5[[#This Row],[Units]]*Data5[[#This Row],[Cost per unit]]</f>
        <v>487.2</v>
      </c>
      <c r="P235" s="43">
        <f>Data5[[#This Row],[Amount]]-Data5[[#This Row],[Total Cost]]</f>
        <v>121.80000000000001</v>
      </c>
    </row>
    <row r="236" spans="9:16" x14ac:dyDescent="0.25">
      <c r="I236" s="12" t="s">
        <v>40</v>
      </c>
      <c r="J236" s="12" t="s">
        <v>39</v>
      </c>
      <c r="K236" s="12" t="s">
        <v>27</v>
      </c>
      <c r="L236" s="43">
        <v>6370</v>
      </c>
      <c r="M236" s="44">
        <v>30</v>
      </c>
      <c r="N236" s="43">
        <f>_xlfn.XLOOKUP(Data5[[#This Row],[Product]],products7[Product],products7[Cost per unit])</f>
        <v>16.73</v>
      </c>
      <c r="O236" s="43">
        <f>Data5[[#This Row],[Units]]*Data5[[#This Row],[Cost per unit]]</f>
        <v>501.90000000000003</v>
      </c>
      <c r="P236" s="43">
        <f>Data5[[#This Row],[Amount]]-Data5[[#This Row],[Total Cost]]</f>
        <v>5868.1</v>
      </c>
    </row>
    <row r="237" spans="9:16" x14ac:dyDescent="0.25">
      <c r="I237" s="12" t="s">
        <v>5</v>
      </c>
      <c r="J237" s="12" t="s">
        <v>38</v>
      </c>
      <c r="K237" s="12" t="s">
        <v>19</v>
      </c>
      <c r="L237" s="43">
        <v>5474</v>
      </c>
      <c r="M237" s="44">
        <v>168</v>
      </c>
      <c r="N237" s="43">
        <f>_xlfn.XLOOKUP(Data5[[#This Row],[Product]],products7[Product],products7[Cost per unit])</f>
        <v>7.64</v>
      </c>
      <c r="O237" s="43">
        <f>Data5[[#This Row],[Units]]*Data5[[#This Row],[Cost per unit]]</f>
        <v>1283.52</v>
      </c>
      <c r="P237" s="43">
        <f>Data5[[#This Row],[Amount]]-Data5[[#This Row],[Total Cost]]</f>
        <v>4190.4799999999996</v>
      </c>
    </row>
    <row r="238" spans="9:16" x14ac:dyDescent="0.25">
      <c r="I238" s="12" t="s">
        <v>40</v>
      </c>
      <c r="J238" s="12" t="s">
        <v>36</v>
      </c>
      <c r="K238" s="12" t="s">
        <v>27</v>
      </c>
      <c r="L238" s="43">
        <v>3164</v>
      </c>
      <c r="M238" s="44">
        <v>306</v>
      </c>
      <c r="N238" s="43">
        <f>_xlfn.XLOOKUP(Data5[[#This Row],[Product]],products7[Product],products7[Cost per unit])</f>
        <v>16.73</v>
      </c>
      <c r="O238" s="43">
        <f>Data5[[#This Row],[Units]]*Data5[[#This Row],[Cost per unit]]</f>
        <v>5119.38</v>
      </c>
      <c r="P238" s="43">
        <f>Data5[[#This Row],[Amount]]-Data5[[#This Row],[Total Cost]]</f>
        <v>-1955.38</v>
      </c>
    </row>
    <row r="239" spans="9:16" x14ac:dyDescent="0.25">
      <c r="I239" s="12" t="s">
        <v>6</v>
      </c>
      <c r="J239" s="12" t="s">
        <v>35</v>
      </c>
      <c r="K239" s="12" t="s">
        <v>4</v>
      </c>
      <c r="L239" s="43">
        <v>1302</v>
      </c>
      <c r="M239" s="44">
        <v>402</v>
      </c>
      <c r="N239" s="43">
        <f>_xlfn.XLOOKUP(Data5[[#This Row],[Product]],products7[Product],products7[Cost per unit])</f>
        <v>11.88</v>
      </c>
      <c r="O239" s="43">
        <f>Data5[[#This Row],[Units]]*Data5[[#This Row],[Cost per unit]]</f>
        <v>4775.76</v>
      </c>
      <c r="P239" s="43">
        <f>Data5[[#This Row],[Amount]]-Data5[[#This Row],[Total Cost]]</f>
        <v>-3473.76</v>
      </c>
    </row>
    <row r="240" spans="9:16" x14ac:dyDescent="0.25">
      <c r="I240" s="12" t="s">
        <v>3</v>
      </c>
      <c r="J240" s="12" t="s">
        <v>37</v>
      </c>
      <c r="K240" s="12" t="s">
        <v>28</v>
      </c>
      <c r="L240" s="43">
        <v>7308</v>
      </c>
      <c r="M240" s="44">
        <v>327</v>
      </c>
      <c r="N240" s="43">
        <f>_xlfn.XLOOKUP(Data5[[#This Row],[Product]],products7[Product],products7[Cost per unit])</f>
        <v>10.38</v>
      </c>
      <c r="O240" s="43">
        <f>Data5[[#This Row],[Units]]*Data5[[#This Row],[Cost per unit]]</f>
        <v>3394.26</v>
      </c>
      <c r="P240" s="43">
        <f>Data5[[#This Row],[Amount]]-Data5[[#This Row],[Total Cost]]</f>
        <v>3913.74</v>
      </c>
    </row>
    <row r="241" spans="9:16" x14ac:dyDescent="0.25">
      <c r="I241" s="12" t="s">
        <v>40</v>
      </c>
      <c r="J241" s="12" t="s">
        <v>37</v>
      </c>
      <c r="K241" s="12" t="s">
        <v>27</v>
      </c>
      <c r="L241" s="43">
        <v>6132</v>
      </c>
      <c r="M241" s="44">
        <v>93</v>
      </c>
      <c r="N241" s="43">
        <f>_xlfn.XLOOKUP(Data5[[#This Row],[Product]],products7[Product],products7[Cost per unit])</f>
        <v>16.73</v>
      </c>
      <c r="O241" s="43">
        <f>Data5[[#This Row],[Units]]*Data5[[#This Row],[Cost per unit]]</f>
        <v>1555.89</v>
      </c>
      <c r="P241" s="43">
        <f>Data5[[#This Row],[Amount]]-Data5[[#This Row],[Total Cost]]</f>
        <v>4576.1099999999997</v>
      </c>
    </row>
    <row r="242" spans="9:16" x14ac:dyDescent="0.25">
      <c r="I242" s="12" t="s">
        <v>10</v>
      </c>
      <c r="J242" s="12" t="s">
        <v>35</v>
      </c>
      <c r="K242" s="12" t="s">
        <v>14</v>
      </c>
      <c r="L242" s="43">
        <v>3472</v>
      </c>
      <c r="M242" s="44">
        <v>96</v>
      </c>
      <c r="N242" s="43">
        <f>_xlfn.XLOOKUP(Data5[[#This Row],[Product]],products7[Product],products7[Cost per unit])</f>
        <v>11.7</v>
      </c>
      <c r="O242" s="43">
        <f>Data5[[#This Row],[Units]]*Data5[[#This Row],[Cost per unit]]</f>
        <v>1123.1999999999998</v>
      </c>
      <c r="P242" s="43">
        <f>Data5[[#This Row],[Amount]]-Data5[[#This Row],[Total Cost]]</f>
        <v>2348.8000000000002</v>
      </c>
    </row>
    <row r="243" spans="9:16" x14ac:dyDescent="0.25">
      <c r="I243" s="12" t="s">
        <v>8</v>
      </c>
      <c r="J243" s="12" t="s">
        <v>39</v>
      </c>
      <c r="K243" s="12" t="s">
        <v>18</v>
      </c>
      <c r="L243" s="43">
        <v>9660</v>
      </c>
      <c r="M243" s="44">
        <v>27</v>
      </c>
      <c r="N243" s="43">
        <f>_xlfn.XLOOKUP(Data5[[#This Row],[Product]],products7[Product],products7[Cost per unit])</f>
        <v>6.47</v>
      </c>
      <c r="O243" s="43">
        <f>Data5[[#This Row],[Units]]*Data5[[#This Row],[Cost per unit]]</f>
        <v>174.69</v>
      </c>
      <c r="P243" s="43">
        <f>Data5[[#This Row],[Amount]]-Data5[[#This Row],[Total Cost]]</f>
        <v>9485.31</v>
      </c>
    </row>
    <row r="244" spans="9:16" x14ac:dyDescent="0.25">
      <c r="I244" s="12" t="s">
        <v>9</v>
      </c>
      <c r="J244" s="12" t="s">
        <v>38</v>
      </c>
      <c r="K244" s="12" t="s">
        <v>26</v>
      </c>
      <c r="L244" s="43">
        <v>2436</v>
      </c>
      <c r="M244" s="44">
        <v>99</v>
      </c>
      <c r="N244" s="43">
        <f>_xlfn.XLOOKUP(Data5[[#This Row],[Product]],products7[Product],products7[Cost per unit])</f>
        <v>5.6</v>
      </c>
      <c r="O244" s="43">
        <f>Data5[[#This Row],[Units]]*Data5[[#This Row],[Cost per unit]]</f>
        <v>554.4</v>
      </c>
      <c r="P244" s="43">
        <f>Data5[[#This Row],[Amount]]-Data5[[#This Row],[Total Cost]]</f>
        <v>1881.6</v>
      </c>
    </row>
    <row r="245" spans="9:16" x14ac:dyDescent="0.25">
      <c r="I245" s="12" t="s">
        <v>9</v>
      </c>
      <c r="J245" s="12" t="s">
        <v>38</v>
      </c>
      <c r="K245" s="12" t="s">
        <v>33</v>
      </c>
      <c r="L245" s="43">
        <v>9506</v>
      </c>
      <c r="M245" s="44">
        <v>87</v>
      </c>
      <c r="N245" s="43">
        <f>_xlfn.XLOOKUP(Data5[[#This Row],[Product]],products7[Product],products7[Cost per unit])</f>
        <v>12.37</v>
      </c>
      <c r="O245" s="43">
        <f>Data5[[#This Row],[Units]]*Data5[[#This Row],[Cost per unit]]</f>
        <v>1076.1899999999998</v>
      </c>
      <c r="P245" s="43">
        <f>Data5[[#This Row],[Amount]]-Data5[[#This Row],[Total Cost]]</f>
        <v>8429.81</v>
      </c>
    </row>
    <row r="246" spans="9:16" x14ac:dyDescent="0.25">
      <c r="I246" s="12" t="s">
        <v>10</v>
      </c>
      <c r="J246" s="12" t="s">
        <v>37</v>
      </c>
      <c r="K246" s="12" t="s">
        <v>21</v>
      </c>
      <c r="L246" s="43">
        <v>245</v>
      </c>
      <c r="M246" s="44">
        <v>288</v>
      </c>
      <c r="N246" s="43">
        <f>_xlfn.XLOOKUP(Data5[[#This Row],[Product]],products7[Product],products7[Cost per unit])</f>
        <v>9</v>
      </c>
      <c r="O246" s="43">
        <f>Data5[[#This Row],[Units]]*Data5[[#This Row],[Cost per unit]]</f>
        <v>2592</v>
      </c>
      <c r="P246" s="43">
        <f>Data5[[#This Row],[Amount]]-Data5[[#This Row],[Total Cost]]</f>
        <v>-2347</v>
      </c>
    </row>
    <row r="247" spans="9:16" x14ac:dyDescent="0.25">
      <c r="I247" s="12" t="s">
        <v>8</v>
      </c>
      <c r="J247" s="12" t="s">
        <v>35</v>
      </c>
      <c r="K247" s="12" t="s">
        <v>20</v>
      </c>
      <c r="L247" s="43">
        <v>2702</v>
      </c>
      <c r="M247" s="44">
        <v>363</v>
      </c>
      <c r="N247" s="43">
        <f>_xlfn.XLOOKUP(Data5[[#This Row],[Product]],products7[Product],products7[Cost per unit])</f>
        <v>10.62</v>
      </c>
      <c r="O247" s="43">
        <f>Data5[[#This Row],[Units]]*Data5[[#This Row],[Cost per unit]]</f>
        <v>3855.0599999999995</v>
      </c>
      <c r="P247" s="43">
        <f>Data5[[#This Row],[Amount]]-Data5[[#This Row],[Total Cost]]</f>
        <v>-1153.0599999999995</v>
      </c>
    </row>
    <row r="248" spans="9:16" x14ac:dyDescent="0.25">
      <c r="I248" s="12" t="s">
        <v>10</v>
      </c>
      <c r="J248" s="12" t="s">
        <v>34</v>
      </c>
      <c r="K248" s="12" t="s">
        <v>17</v>
      </c>
      <c r="L248" s="43">
        <v>700</v>
      </c>
      <c r="M248" s="44">
        <v>87</v>
      </c>
      <c r="N248" s="43">
        <f>_xlfn.XLOOKUP(Data5[[#This Row],[Product]],products7[Product],products7[Cost per unit])</f>
        <v>3.11</v>
      </c>
      <c r="O248" s="43">
        <f>Data5[[#This Row],[Units]]*Data5[[#This Row],[Cost per unit]]</f>
        <v>270.57</v>
      </c>
      <c r="P248" s="43">
        <f>Data5[[#This Row],[Amount]]-Data5[[#This Row],[Total Cost]]</f>
        <v>429.43</v>
      </c>
    </row>
    <row r="249" spans="9:16" x14ac:dyDescent="0.25">
      <c r="I249" s="12" t="s">
        <v>6</v>
      </c>
      <c r="J249" s="12" t="s">
        <v>34</v>
      </c>
      <c r="K249" s="12" t="s">
        <v>17</v>
      </c>
      <c r="L249" s="43">
        <v>3759</v>
      </c>
      <c r="M249" s="44">
        <v>150</v>
      </c>
      <c r="N249" s="43">
        <f>_xlfn.XLOOKUP(Data5[[#This Row],[Product]],products7[Product],products7[Cost per unit])</f>
        <v>3.11</v>
      </c>
      <c r="O249" s="43">
        <f>Data5[[#This Row],[Units]]*Data5[[#This Row],[Cost per unit]]</f>
        <v>466.5</v>
      </c>
      <c r="P249" s="43">
        <f>Data5[[#This Row],[Amount]]-Data5[[#This Row],[Total Cost]]</f>
        <v>3292.5</v>
      </c>
    </row>
    <row r="250" spans="9:16" x14ac:dyDescent="0.25">
      <c r="I250" s="12" t="s">
        <v>2</v>
      </c>
      <c r="J250" s="12" t="s">
        <v>35</v>
      </c>
      <c r="K250" s="12" t="s">
        <v>17</v>
      </c>
      <c r="L250" s="43">
        <v>1589</v>
      </c>
      <c r="M250" s="44">
        <v>303</v>
      </c>
      <c r="N250" s="43">
        <f>_xlfn.XLOOKUP(Data5[[#This Row],[Product]],products7[Product],products7[Cost per unit])</f>
        <v>3.11</v>
      </c>
      <c r="O250" s="43">
        <f>Data5[[#This Row],[Units]]*Data5[[#This Row],[Cost per unit]]</f>
        <v>942.32999999999993</v>
      </c>
      <c r="P250" s="43">
        <f>Data5[[#This Row],[Amount]]-Data5[[#This Row],[Total Cost]]</f>
        <v>646.67000000000007</v>
      </c>
    </row>
    <row r="251" spans="9:16" x14ac:dyDescent="0.25">
      <c r="I251" s="12" t="s">
        <v>7</v>
      </c>
      <c r="J251" s="12" t="s">
        <v>35</v>
      </c>
      <c r="K251" s="12" t="s">
        <v>28</v>
      </c>
      <c r="L251" s="43">
        <v>5194</v>
      </c>
      <c r="M251" s="44">
        <v>288</v>
      </c>
      <c r="N251" s="43">
        <f>_xlfn.XLOOKUP(Data5[[#This Row],[Product]],products7[Product],products7[Cost per unit])</f>
        <v>10.38</v>
      </c>
      <c r="O251" s="43">
        <f>Data5[[#This Row],[Units]]*Data5[[#This Row],[Cost per unit]]</f>
        <v>2989.44</v>
      </c>
      <c r="P251" s="43">
        <f>Data5[[#This Row],[Amount]]-Data5[[#This Row],[Total Cost]]</f>
        <v>2204.56</v>
      </c>
    </row>
    <row r="252" spans="9:16" x14ac:dyDescent="0.25">
      <c r="I252" s="12" t="s">
        <v>10</v>
      </c>
      <c r="J252" s="12" t="s">
        <v>36</v>
      </c>
      <c r="K252" s="12" t="s">
        <v>13</v>
      </c>
      <c r="L252" s="43">
        <v>945</v>
      </c>
      <c r="M252" s="44">
        <v>75</v>
      </c>
      <c r="N252" s="43">
        <f>_xlfn.XLOOKUP(Data5[[#This Row],[Product]],products7[Product],products7[Cost per unit])</f>
        <v>9.33</v>
      </c>
      <c r="O252" s="43">
        <f>Data5[[#This Row],[Units]]*Data5[[#This Row],[Cost per unit]]</f>
        <v>699.75</v>
      </c>
      <c r="P252" s="43">
        <f>Data5[[#This Row],[Amount]]-Data5[[#This Row],[Total Cost]]</f>
        <v>245.25</v>
      </c>
    </row>
    <row r="253" spans="9:16" x14ac:dyDescent="0.25">
      <c r="I253" s="12" t="s">
        <v>40</v>
      </c>
      <c r="J253" s="12" t="s">
        <v>38</v>
      </c>
      <c r="K253" s="12" t="s">
        <v>31</v>
      </c>
      <c r="L253" s="43">
        <v>1988</v>
      </c>
      <c r="M253" s="44">
        <v>39</v>
      </c>
      <c r="N253" s="43">
        <f>_xlfn.XLOOKUP(Data5[[#This Row],[Product]],products7[Product],products7[Cost per unit])</f>
        <v>5.79</v>
      </c>
      <c r="O253" s="43">
        <f>Data5[[#This Row],[Units]]*Data5[[#This Row],[Cost per unit]]</f>
        <v>225.81</v>
      </c>
      <c r="P253" s="43">
        <f>Data5[[#This Row],[Amount]]-Data5[[#This Row],[Total Cost]]</f>
        <v>1762.19</v>
      </c>
    </row>
    <row r="254" spans="9:16" x14ac:dyDescent="0.25">
      <c r="I254" s="12" t="s">
        <v>6</v>
      </c>
      <c r="J254" s="12" t="s">
        <v>34</v>
      </c>
      <c r="K254" s="12" t="s">
        <v>32</v>
      </c>
      <c r="L254" s="43">
        <v>6734</v>
      </c>
      <c r="M254" s="44">
        <v>123</v>
      </c>
      <c r="N254" s="43">
        <f>_xlfn.XLOOKUP(Data5[[#This Row],[Product]],products7[Product],products7[Cost per unit])</f>
        <v>8.65</v>
      </c>
      <c r="O254" s="43">
        <f>Data5[[#This Row],[Units]]*Data5[[#This Row],[Cost per unit]]</f>
        <v>1063.95</v>
      </c>
      <c r="P254" s="43">
        <f>Data5[[#This Row],[Amount]]-Data5[[#This Row],[Total Cost]]</f>
        <v>5670.05</v>
      </c>
    </row>
    <row r="255" spans="9:16" x14ac:dyDescent="0.25">
      <c r="I255" s="12" t="s">
        <v>40</v>
      </c>
      <c r="J255" s="12" t="s">
        <v>36</v>
      </c>
      <c r="K255" s="12" t="s">
        <v>4</v>
      </c>
      <c r="L255" s="43">
        <v>217</v>
      </c>
      <c r="M255" s="44">
        <v>36</v>
      </c>
      <c r="N255" s="43">
        <f>_xlfn.XLOOKUP(Data5[[#This Row],[Product]],products7[Product],products7[Cost per unit])</f>
        <v>11.88</v>
      </c>
      <c r="O255" s="43">
        <f>Data5[[#This Row],[Units]]*Data5[[#This Row],[Cost per unit]]</f>
        <v>427.68</v>
      </c>
      <c r="P255" s="43">
        <f>Data5[[#This Row],[Amount]]-Data5[[#This Row],[Total Cost]]</f>
        <v>-210.68</v>
      </c>
    </row>
    <row r="256" spans="9:16" x14ac:dyDescent="0.25">
      <c r="I256" s="12" t="s">
        <v>5</v>
      </c>
      <c r="J256" s="12" t="s">
        <v>34</v>
      </c>
      <c r="K256" s="12" t="s">
        <v>22</v>
      </c>
      <c r="L256" s="43">
        <v>6279</v>
      </c>
      <c r="M256" s="44">
        <v>237</v>
      </c>
      <c r="N256" s="43">
        <f>_xlfn.XLOOKUP(Data5[[#This Row],[Product]],products7[Product],products7[Cost per unit])</f>
        <v>9.77</v>
      </c>
      <c r="O256" s="43">
        <f>Data5[[#This Row],[Units]]*Data5[[#This Row],[Cost per unit]]</f>
        <v>2315.4899999999998</v>
      </c>
      <c r="P256" s="43">
        <f>Data5[[#This Row],[Amount]]-Data5[[#This Row],[Total Cost]]</f>
        <v>3963.51</v>
      </c>
    </row>
    <row r="257" spans="9:16" x14ac:dyDescent="0.25">
      <c r="I257" s="12" t="s">
        <v>40</v>
      </c>
      <c r="J257" s="12" t="s">
        <v>36</v>
      </c>
      <c r="K257" s="12" t="s">
        <v>13</v>
      </c>
      <c r="L257" s="43">
        <v>4424</v>
      </c>
      <c r="M257" s="44">
        <v>201</v>
      </c>
      <c r="N257" s="43">
        <f>_xlfn.XLOOKUP(Data5[[#This Row],[Product]],products7[Product],products7[Cost per unit])</f>
        <v>9.33</v>
      </c>
      <c r="O257" s="43">
        <f>Data5[[#This Row],[Units]]*Data5[[#This Row],[Cost per unit]]</f>
        <v>1875.33</v>
      </c>
      <c r="P257" s="43">
        <f>Data5[[#This Row],[Amount]]-Data5[[#This Row],[Total Cost]]</f>
        <v>2548.67</v>
      </c>
    </row>
    <row r="258" spans="9:16" x14ac:dyDescent="0.25">
      <c r="I258" s="12" t="s">
        <v>2</v>
      </c>
      <c r="J258" s="12" t="s">
        <v>36</v>
      </c>
      <c r="K258" s="12" t="s">
        <v>17</v>
      </c>
      <c r="L258" s="43">
        <v>189</v>
      </c>
      <c r="M258" s="44">
        <v>48</v>
      </c>
      <c r="N258" s="43">
        <f>_xlfn.XLOOKUP(Data5[[#This Row],[Product]],products7[Product],products7[Cost per unit])</f>
        <v>3.11</v>
      </c>
      <c r="O258" s="43">
        <f>Data5[[#This Row],[Units]]*Data5[[#This Row],[Cost per unit]]</f>
        <v>149.28</v>
      </c>
      <c r="P258" s="43">
        <f>Data5[[#This Row],[Amount]]-Data5[[#This Row],[Total Cost]]</f>
        <v>39.72</v>
      </c>
    </row>
    <row r="259" spans="9:16" x14ac:dyDescent="0.25">
      <c r="I259" s="12" t="s">
        <v>5</v>
      </c>
      <c r="J259" s="12" t="s">
        <v>35</v>
      </c>
      <c r="K259" s="12" t="s">
        <v>22</v>
      </c>
      <c r="L259" s="43">
        <v>490</v>
      </c>
      <c r="M259" s="44">
        <v>84</v>
      </c>
      <c r="N259" s="43">
        <f>_xlfn.XLOOKUP(Data5[[#This Row],[Product]],products7[Product],products7[Cost per unit])</f>
        <v>9.77</v>
      </c>
      <c r="O259" s="43">
        <f>Data5[[#This Row],[Units]]*Data5[[#This Row],[Cost per unit]]</f>
        <v>820.68</v>
      </c>
      <c r="P259" s="43">
        <f>Data5[[#This Row],[Amount]]-Data5[[#This Row],[Total Cost]]</f>
        <v>-330.67999999999995</v>
      </c>
    </row>
    <row r="260" spans="9:16" x14ac:dyDescent="0.25">
      <c r="I260" s="12" t="s">
        <v>8</v>
      </c>
      <c r="J260" s="12" t="s">
        <v>37</v>
      </c>
      <c r="K260" s="12" t="s">
        <v>21</v>
      </c>
      <c r="L260" s="43">
        <v>434</v>
      </c>
      <c r="M260" s="44">
        <v>87</v>
      </c>
      <c r="N260" s="43">
        <f>_xlfn.XLOOKUP(Data5[[#This Row],[Product]],products7[Product],products7[Cost per unit])</f>
        <v>9</v>
      </c>
      <c r="O260" s="43">
        <f>Data5[[#This Row],[Units]]*Data5[[#This Row],[Cost per unit]]</f>
        <v>783</v>
      </c>
      <c r="P260" s="43">
        <f>Data5[[#This Row],[Amount]]-Data5[[#This Row],[Total Cost]]</f>
        <v>-349</v>
      </c>
    </row>
    <row r="261" spans="9:16" x14ac:dyDescent="0.25">
      <c r="I261" s="12" t="s">
        <v>7</v>
      </c>
      <c r="J261" s="12" t="s">
        <v>38</v>
      </c>
      <c r="K261" s="12" t="s">
        <v>30</v>
      </c>
      <c r="L261" s="43">
        <v>10129</v>
      </c>
      <c r="M261" s="44">
        <v>312</v>
      </c>
      <c r="N261" s="43">
        <f>_xlfn.XLOOKUP(Data5[[#This Row],[Product]],products7[Product],products7[Cost per unit])</f>
        <v>14.49</v>
      </c>
      <c r="O261" s="43">
        <f>Data5[[#This Row],[Units]]*Data5[[#This Row],[Cost per unit]]</f>
        <v>4520.88</v>
      </c>
      <c r="P261" s="43">
        <f>Data5[[#This Row],[Amount]]-Data5[[#This Row],[Total Cost]]</f>
        <v>5608.12</v>
      </c>
    </row>
    <row r="262" spans="9:16" x14ac:dyDescent="0.25">
      <c r="I262" s="12" t="s">
        <v>3</v>
      </c>
      <c r="J262" s="12" t="s">
        <v>39</v>
      </c>
      <c r="K262" s="12" t="s">
        <v>28</v>
      </c>
      <c r="L262" s="43">
        <v>1652</v>
      </c>
      <c r="M262" s="44">
        <v>102</v>
      </c>
      <c r="N262" s="43">
        <f>_xlfn.XLOOKUP(Data5[[#This Row],[Product]],products7[Product],products7[Cost per unit])</f>
        <v>10.38</v>
      </c>
      <c r="O262" s="43">
        <f>Data5[[#This Row],[Units]]*Data5[[#This Row],[Cost per unit]]</f>
        <v>1058.76</v>
      </c>
      <c r="P262" s="43">
        <f>Data5[[#This Row],[Amount]]-Data5[[#This Row],[Total Cost]]</f>
        <v>593.24</v>
      </c>
    </row>
    <row r="263" spans="9:16" x14ac:dyDescent="0.25">
      <c r="I263" s="12" t="s">
        <v>8</v>
      </c>
      <c r="J263" s="12" t="s">
        <v>38</v>
      </c>
      <c r="K263" s="12" t="s">
        <v>21</v>
      </c>
      <c r="L263" s="43">
        <v>6433</v>
      </c>
      <c r="M263" s="44">
        <v>78</v>
      </c>
      <c r="N263" s="43">
        <f>_xlfn.XLOOKUP(Data5[[#This Row],[Product]],products7[Product],products7[Cost per unit])</f>
        <v>9</v>
      </c>
      <c r="O263" s="43">
        <f>Data5[[#This Row],[Units]]*Data5[[#This Row],[Cost per unit]]</f>
        <v>702</v>
      </c>
      <c r="P263" s="43">
        <f>Data5[[#This Row],[Amount]]-Data5[[#This Row],[Total Cost]]</f>
        <v>5731</v>
      </c>
    </row>
    <row r="264" spans="9:16" x14ac:dyDescent="0.25">
      <c r="I264" s="12" t="s">
        <v>3</v>
      </c>
      <c r="J264" s="12" t="s">
        <v>34</v>
      </c>
      <c r="K264" s="12" t="s">
        <v>23</v>
      </c>
      <c r="L264" s="43">
        <v>2212</v>
      </c>
      <c r="M264" s="44">
        <v>117</v>
      </c>
      <c r="N264" s="43">
        <f>_xlfn.XLOOKUP(Data5[[#This Row],[Product]],products7[Product],products7[Cost per unit])</f>
        <v>6.49</v>
      </c>
      <c r="O264" s="43">
        <f>Data5[[#This Row],[Units]]*Data5[[#This Row],[Cost per unit]]</f>
        <v>759.33</v>
      </c>
      <c r="P264" s="43">
        <f>Data5[[#This Row],[Amount]]-Data5[[#This Row],[Total Cost]]</f>
        <v>1452.67</v>
      </c>
    </row>
    <row r="265" spans="9:16" x14ac:dyDescent="0.25">
      <c r="I265" s="12" t="s">
        <v>41</v>
      </c>
      <c r="J265" s="12" t="s">
        <v>35</v>
      </c>
      <c r="K265" s="12" t="s">
        <v>19</v>
      </c>
      <c r="L265" s="43">
        <v>609</v>
      </c>
      <c r="M265" s="44">
        <v>99</v>
      </c>
      <c r="N265" s="43">
        <f>_xlfn.XLOOKUP(Data5[[#This Row],[Product]],products7[Product],products7[Cost per unit])</f>
        <v>7.64</v>
      </c>
      <c r="O265" s="43">
        <f>Data5[[#This Row],[Units]]*Data5[[#This Row],[Cost per unit]]</f>
        <v>756.36</v>
      </c>
      <c r="P265" s="43">
        <f>Data5[[#This Row],[Amount]]-Data5[[#This Row],[Total Cost]]</f>
        <v>-147.36000000000001</v>
      </c>
    </row>
    <row r="266" spans="9:16" x14ac:dyDescent="0.25">
      <c r="I266" s="12" t="s">
        <v>40</v>
      </c>
      <c r="J266" s="12" t="s">
        <v>35</v>
      </c>
      <c r="K266" s="12" t="s">
        <v>24</v>
      </c>
      <c r="L266" s="43">
        <v>1638</v>
      </c>
      <c r="M266" s="44">
        <v>48</v>
      </c>
      <c r="N266" s="43">
        <f>_xlfn.XLOOKUP(Data5[[#This Row],[Product]],products7[Product],products7[Cost per unit])</f>
        <v>4.97</v>
      </c>
      <c r="O266" s="43">
        <f>Data5[[#This Row],[Units]]*Data5[[#This Row],[Cost per unit]]</f>
        <v>238.56</v>
      </c>
      <c r="P266" s="43">
        <f>Data5[[#This Row],[Amount]]-Data5[[#This Row],[Total Cost]]</f>
        <v>1399.44</v>
      </c>
    </row>
    <row r="267" spans="9:16" x14ac:dyDescent="0.25">
      <c r="I267" s="12" t="s">
        <v>7</v>
      </c>
      <c r="J267" s="12" t="s">
        <v>34</v>
      </c>
      <c r="K267" s="12" t="s">
        <v>15</v>
      </c>
      <c r="L267" s="43">
        <v>3829</v>
      </c>
      <c r="M267" s="44">
        <v>24</v>
      </c>
      <c r="N267" s="43">
        <f>_xlfn.XLOOKUP(Data5[[#This Row],[Product]],products7[Product],products7[Cost per unit])</f>
        <v>11.73</v>
      </c>
      <c r="O267" s="43">
        <f>Data5[[#This Row],[Units]]*Data5[[#This Row],[Cost per unit]]</f>
        <v>281.52</v>
      </c>
      <c r="P267" s="43">
        <f>Data5[[#This Row],[Amount]]-Data5[[#This Row],[Total Cost]]</f>
        <v>3547.48</v>
      </c>
    </row>
    <row r="268" spans="9:16" x14ac:dyDescent="0.25">
      <c r="I268" s="12" t="s">
        <v>40</v>
      </c>
      <c r="J268" s="12" t="s">
        <v>39</v>
      </c>
      <c r="K268" s="12" t="s">
        <v>15</v>
      </c>
      <c r="L268" s="43">
        <v>5775</v>
      </c>
      <c r="M268" s="44">
        <v>42</v>
      </c>
      <c r="N268" s="43">
        <f>_xlfn.XLOOKUP(Data5[[#This Row],[Product]],products7[Product],products7[Cost per unit])</f>
        <v>11.73</v>
      </c>
      <c r="O268" s="43">
        <f>Data5[[#This Row],[Units]]*Data5[[#This Row],[Cost per unit]]</f>
        <v>492.66</v>
      </c>
      <c r="P268" s="43">
        <f>Data5[[#This Row],[Amount]]-Data5[[#This Row],[Total Cost]]</f>
        <v>5282.34</v>
      </c>
    </row>
    <row r="269" spans="9:16" x14ac:dyDescent="0.25">
      <c r="I269" s="12" t="s">
        <v>6</v>
      </c>
      <c r="J269" s="12" t="s">
        <v>35</v>
      </c>
      <c r="K269" s="12" t="s">
        <v>20</v>
      </c>
      <c r="L269" s="43">
        <v>1071</v>
      </c>
      <c r="M269" s="44">
        <v>270</v>
      </c>
      <c r="N269" s="43">
        <f>_xlfn.XLOOKUP(Data5[[#This Row],[Product]],products7[Product],products7[Cost per unit])</f>
        <v>10.62</v>
      </c>
      <c r="O269" s="43">
        <f>Data5[[#This Row],[Units]]*Data5[[#This Row],[Cost per unit]]</f>
        <v>2867.3999999999996</v>
      </c>
      <c r="P269" s="43">
        <f>Data5[[#This Row],[Amount]]-Data5[[#This Row],[Total Cost]]</f>
        <v>-1796.3999999999996</v>
      </c>
    </row>
    <row r="270" spans="9:16" x14ac:dyDescent="0.25">
      <c r="I270" s="12" t="s">
        <v>8</v>
      </c>
      <c r="J270" s="12" t="s">
        <v>36</v>
      </c>
      <c r="K270" s="12" t="s">
        <v>23</v>
      </c>
      <c r="L270" s="43">
        <v>5019</v>
      </c>
      <c r="M270" s="44">
        <v>150</v>
      </c>
      <c r="N270" s="43">
        <f>_xlfn.XLOOKUP(Data5[[#This Row],[Product]],products7[Product],products7[Cost per unit])</f>
        <v>6.49</v>
      </c>
      <c r="O270" s="43">
        <f>Data5[[#This Row],[Units]]*Data5[[#This Row],[Cost per unit]]</f>
        <v>973.5</v>
      </c>
      <c r="P270" s="43">
        <f>Data5[[#This Row],[Amount]]-Data5[[#This Row],[Total Cost]]</f>
        <v>4045.5</v>
      </c>
    </row>
    <row r="271" spans="9:16" x14ac:dyDescent="0.25">
      <c r="I271" s="12" t="s">
        <v>2</v>
      </c>
      <c r="J271" s="12" t="s">
        <v>37</v>
      </c>
      <c r="K271" s="12" t="s">
        <v>15</v>
      </c>
      <c r="L271" s="43">
        <v>2863</v>
      </c>
      <c r="M271" s="44">
        <v>42</v>
      </c>
      <c r="N271" s="43">
        <f>_xlfn.XLOOKUP(Data5[[#This Row],[Product]],products7[Product],products7[Cost per unit])</f>
        <v>11.73</v>
      </c>
      <c r="O271" s="43">
        <f>Data5[[#This Row],[Units]]*Data5[[#This Row],[Cost per unit]]</f>
        <v>492.66</v>
      </c>
      <c r="P271" s="43">
        <f>Data5[[#This Row],[Amount]]-Data5[[#This Row],[Total Cost]]</f>
        <v>2370.34</v>
      </c>
    </row>
    <row r="272" spans="9:16" x14ac:dyDescent="0.25">
      <c r="I272" s="12" t="s">
        <v>40</v>
      </c>
      <c r="J272" s="12" t="s">
        <v>35</v>
      </c>
      <c r="K272" s="12" t="s">
        <v>29</v>
      </c>
      <c r="L272" s="43">
        <v>1617</v>
      </c>
      <c r="M272" s="44">
        <v>126</v>
      </c>
      <c r="N272" s="43">
        <f>_xlfn.XLOOKUP(Data5[[#This Row],[Product]],products7[Product],products7[Cost per unit])</f>
        <v>7.16</v>
      </c>
      <c r="O272" s="43">
        <f>Data5[[#This Row],[Units]]*Data5[[#This Row],[Cost per unit]]</f>
        <v>902.16</v>
      </c>
      <c r="P272" s="43">
        <f>Data5[[#This Row],[Amount]]-Data5[[#This Row],[Total Cost]]</f>
        <v>714.84</v>
      </c>
    </row>
    <row r="273" spans="9:16" x14ac:dyDescent="0.25">
      <c r="I273" s="12" t="s">
        <v>6</v>
      </c>
      <c r="J273" s="12" t="s">
        <v>37</v>
      </c>
      <c r="K273" s="12" t="s">
        <v>26</v>
      </c>
      <c r="L273" s="43">
        <v>6818</v>
      </c>
      <c r="M273" s="44">
        <v>6</v>
      </c>
      <c r="N273" s="43">
        <f>_xlfn.XLOOKUP(Data5[[#This Row],[Product]],products7[Product],products7[Cost per unit])</f>
        <v>5.6</v>
      </c>
      <c r="O273" s="43">
        <f>Data5[[#This Row],[Units]]*Data5[[#This Row],[Cost per unit]]</f>
        <v>33.599999999999994</v>
      </c>
      <c r="P273" s="43">
        <f>Data5[[#This Row],[Amount]]-Data5[[#This Row],[Total Cost]]</f>
        <v>6784.4</v>
      </c>
    </row>
    <row r="274" spans="9:16" x14ac:dyDescent="0.25">
      <c r="I274" s="12" t="s">
        <v>3</v>
      </c>
      <c r="J274" s="12" t="s">
        <v>35</v>
      </c>
      <c r="K274" s="12" t="s">
        <v>15</v>
      </c>
      <c r="L274" s="43">
        <v>6657</v>
      </c>
      <c r="M274" s="44">
        <v>276</v>
      </c>
      <c r="N274" s="43">
        <f>_xlfn.XLOOKUP(Data5[[#This Row],[Product]],products7[Product],products7[Cost per unit])</f>
        <v>11.73</v>
      </c>
      <c r="O274" s="43">
        <f>Data5[[#This Row],[Units]]*Data5[[#This Row],[Cost per unit]]</f>
        <v>3237.48</v>
      </c>
      <c r="P274" s="43">
        <f>Data5[[#This Row],[Amount]]-Data5[[#This Row],[Total Cost]]</f>
        <v>3419.52</v>
      </c>
    </row>
    <row r="275" spans="9:16" x14ac:dyDescent="0.25">
      <c r="I275" s="12" t="s">
        <v>3</v>
      </c>
      <c r="J275" s="12" t="s">
        <v>34</v>
      </c>
      <c r="K275" s="12" t="s">
        <v>17</v>
      </c>
      <c r="L275" s="43">
        <v>2919</v>
      </c>
      <c r="M275" s="44">
        <v>93</v>
      </c>
      <c r="N275" s="43">
        <f>_xlfn.XLOOKUP(Data5[[#This Row],[Product]],products7[Product],products7[Cost per unit])</f>
        <v>3.11</v>
      </c>
      <c r="O275" s="43">
        <f>Data5[[#This Row],[Units]]*Data5[[#This Row],[Cost per unit]]</f>
        <v>289.22999999999996</v>
      </c>
      <c r="P275" s="43">
        <f>Data5[[#This Row],[Amount]]-Data5[[#This Row],[Total Cost]]</f>
        <v>2629.77</v>
      </c>
    </row>
    <row r="276" spans="9:16" x14ac:dyDescent="0.25">
      <c r="I276" s="12" t="s">
        <v>2</v>
      </c>
      <c r="J276" s="12" t="s">
        <v>36</v>
      </c>
      <c r="K276" s="12" t="s">
        <v>31</v>
      </c>
      <c r="L276" s="43">
        <v>3094</v>
      </c>
      <c r="M276" s="44">
        <v>246</v>
      </c>
      <c r="N276" s="43">
        <f>_xlfn.XLOOKUP(Data5[[#This Row],[Product]],products7[Product],products7[Cost per unit])</f>
        <v>5.79</v>
      </c>
      <c r="O276" s="43">
        <f>Data5[[#This Row],[Units]]*Data5[[#This Row],[Cost per unit]]</f>
        <v>1424.34</v>
      </c>
      <c r="P276" s="43">
        <f>Data5[[#This Row],[Amount]]-Data5[[#This Row],[Total Cost]]</f>
        <v>1669.66</v>
      </c>
    </row>
    <row r="277" spans="9:16" x14ac:dyDescent="0.25">
      <c r="I277" s="12" t="s">
        <v>6</v>
      </c>
      <c r="J277" s="12" t="s">
        <v>39</v>
      </c>
      <c r="K277" s="12" t="s">
        <v>24</v>
      </c>
      <c r="L277" s="43">
        <v>2989</v>
      </c>
      <c r="M277" s="44">
        <v>3</v>
      </c>
      <c r="N277" s="43">
        <f>_xlfn.XLOOKUP(Data5[[#This Row],[Product]],products7[Product],products7[Cost per unit])</f>
        <v>4.97</v>
      </c>
      <c r="O277" s="43">
        <f>Data5[[#This Row],[Units]]*Data5[[#This Row],[Cost per unit]]</f>
        <v>14.91</v>
      </c>
      <c r="P277" s="43">
        <f>Data5[[#This Row],[Amount]]-Data5[[#This Row],[Total Cost]]</f>
        <v>2974.09</v>
      </c>
    </row>
    <row r="278" spans="9:16" x14ac:dyDescent="0.25">
      <c r="I278" s="12" t="s">
        <v>8</v>
      </c>
      <c r="J278" s="12" t="s">
        <v>38</v>
      </c>
      <c r="K278" s="12" t="s">
        <v>27</v>
      </c>
      <c r="L278" s="43">
        <v>2268</v>
      </c>
      <c r="M278" s="44">
        <v>63</v>
      </c>
      <c r="N278" s="43">
        <f>_xlfn.XLOOKUP(Data5[[#This Row],[Product]],products7[Product],products7[Cost per unit])</f>
        <v>16.73</v>
      </c>
      <c r="O278" s="43">
        <f>Data5[[#This Row],[Units]]*Data5[[#This Row],[Cost per unit]]</f>
        <v>1053.99</v>
      </c>
      <c r="P278" s="43">
        <f>Data5[[#This Row],[Amount]]-Data5[[#This Row],[Total Cost]]</f>
        <v>1214.01</v>
      </c>
    </row>
    <row r="279" spans="9:16" x14ac:dyDescent="0.25">
      <c r="I279" s="12" t="s">
        <v>5</v>
      </c>
      <c r="J279" s="12" t="s">
        <v>35</v>
      </c>
      <c r="K279" s="12" t="s">
        <v>31</v>
      </c>
      <c r="L279" s="43">
        <v>4753</v>
      </c>
      <c r="M279" s="44">
        <v>246</v>
      </c>
      <c r="N279" s="43">
        <f>_xlfn.XLOOKUP(Data5[[#This Row],[Product]],products7[Product],products7[Cost per unit])</f>
        <v>5.79</v>
      </c>
      <c r="O279" s="43">
        <f>Data5[[#This Row],[Units]]*Data5[[#This Row],[Cost per unit]]</f>
        <v>1424.34</v>
      </c>
      <c r="P279" s="43">
        <f>Data5[[#This Row],[Amount]]-Data5[[#This Row],[Total Cost]]</f>
        <v>3328.66</v>
      </c>
    </row>
    <row r="280" spans="9:16" x14ac:dyDescent="0.25">
      <c r="I280" s="12" t="s">
        <v>2</v>
      </c>
      <c r="J280" s="12" t="s">
        <v>34</v>
      </c>
      <c r="K280" s="12" t="s">
        <v>19</v>
      </c>
      <c r="L280" s="43">
        <v>7511</v>
      </c>
      <c r="M280" s="44">
        <v>120</v>
      </c>
      <c r="N280" s="43">
        <f>_xlfn.XLOOKUP(Data5[[#This Row],[Product]],products7[Product],products7[Cost per unit])</f>
        <v>7.64</v>
      </c>
      <c r="O280" s="43">
        <f>Data5[[#This Row],[Units]]*Data5[[#This Row],[Cost per unit]]</f>
        <v>916.8</v>
      </c>
      <c r="P280" s="43">
        <f>Data5[[#This Row],[Amount]]-Data5[[#This Row],[Total Cost]]</f>
        <v>6594.2</v>
      </c>
    </row>
    <row r="281" spans="9:16" x14ac:dyDescent="0.25">
      <c r="I281" s="12" t="s">
        <v>2</v>
      </c>
      <c r="J281" s="12" t="s">
        <v>38</v>
      </c>
      <c r="K281" s="12" t="s">
        <v>31</v>
      </c>
      <c r="L281" s="43">
        <v>4326</v>
      </c>
      <c r="M281" s="44">
        <v>348</v>
      </c>
      <c r="N281" s="43">
        <f>_xlfn.XLOOKUP(Data5[[#This Row],[Product]],products7[Product],products7[Cost per unit])</f>
        <v>5.79</v>
      </c>
      <c r="O281" s="43">
        <f>Data5[[#This Row],[Units]]*Data5[[#This Row],[Cost per unit]]</f>
        <v>2014.92</v>
      </c>
      <c r="P281" s="43">
        <f>Data5[[#This Row],[Amount]]-Data5[[#This Row],[Total Cost]]</f>
        <v>2311.08</v>
      </c>
    </row>
    <row r="282" spans="9:16" x14ac:dyDescent="0.25">
      <c r="I282" s="12" t="s">
        <v>41</v>
      </c>
      <c r="J282" s="12" t="s">
        <v>34</v>
      </c>
      <c r="K282" s="12" t="s">
        <v>23</v>
      </c>
      <c r="L282" s="43">
        <v>4935</v>
      </c>
      <c r="M282" s="44">
        <v>126</v>
      </c>
      <c r="N282" s="43">
        <f>_xlfn.XLOOKUP(Data5[[#This Row],[Product]],products7[Product],products7[Cost per unit])</f>
        <v>6.49</v>
      </c>
      <c r="O282" s="43">
        <f>Data5[[#This Row],[Units]]*Data5[[#This Row],[Cost per unit]]</f>
        <v>817.74</v>
      </c>
      <c r="P282" s="43">
        <f>Data5[[#This Row],[Amount]]-Data5[[#This Row],[Total Cost]]</f>
        <v>4117.26</v>
      </c>
    </row>
    <row r="283" spans="9:16" x14ac:dyDescent="0.25">
      <c r="I283" s="12" t="s">
        <v>6</v>
      </c>
      <c r="J283" s="12" t="s">
        <v>35</v>
      </c>
      <c r="K283" s="12" t="s">
        <v>30</v>
      </c>
      <c r="L283" s="43">
        <v>4781</v>
      </c>
      <c r="M283" s="44">
        <v>123</v>
      </c>
      <c r="N283" s="43">
        <f>_xlfn.XLOOKUP(Data5[[#This Row],[Product]],products7[Product],products7[Cost per unit])</f>
        <v>14.49</v>
      </c>
      <c r="O283" s="43">
        <f>Data5[[#This Row],[Units]]*Data5[[#This Row],[Cost per unit]]</f>
        <v>1782.27</v>
      </c>
      <c r="P283" s="43">
        <f>Data5[[#This Row],[Amount]]-Data5[[#This Row],[Total Cost]]</f>
        <v>2998.73</v>
      </c>
    </row>
    <row r="284" spans="9:16" x14ac:dyDescent="0.25">
      <c r="I284" s="12" t="s">
        <v>5</v>
      </c>
      <c r="J284" s="12" t="s">
        <v>38</v>
      </c>
      <c r="K284" s="12" t="s">
        <v>25</v>
      </c>
      <c r="L284" s="43">
        <v>7483</v>
      </c>
      <c r="M284" s="44">
        <v>45</v>
      </c>
      <c r="N284" s="43">
        <f>_xlfn.XLOOKUP(Data5[[#This Row],[Product]],products7[Product],products7[Cost per unit])</f>
        <v>13.15</v>
      </c>
      <c r="O284" s="43">
        <f>Data5[[#This Row],[Units]]*Data5[[#This Row],[Cost per unit]]</f>
        <v>591.75</v>
      </c>
      <c r="P284" s="43">
        <f>Data5[[#This Row],[Amount]]-Data5[[#This Row],[Total Cost]]</f>
        <v>6891.25</v>
      </c>
    </row>
    <row r="285" spans="9:16" x14ac:dyDescent="0.25">
      <c r="I285" s="12" t="s">
        <v>10</v>
      </c>
      <c r="J285" s="12" t="s">
        <v>38</v>
      </c>
      <c r="K285" s="12" t="s">
        <v>4</v>
      </c>
      <c r="L285" s="43">
        <v>6860</v>
      </c>
      <c r="M285" s="44">
        <v>126</v>
      </c>
      <c r="N285" s="43">
        <f>_xlfn.XLOOKUP(Data5[[#This Row],[Product]],products7[Product],products7[Cost per unit])</f>
        <v>11.88</v>
      </c>
      <c r="O285" s="43">
        <f>Data5[[#This Row],[Units]]*Data5[[#This Row],[Cost per unit]]</f>
        <v>1496.88</v>
      </c>
      <c r="P285" s="43">
        <f>Data5[[#This Row],[Amount]]-Data5[[#This Row],[Total Cost]]</f>
        <v>5363.12</v>
      </c>
    </row>
    <row r="286" spans="9:16" x14ac:dyDescent="0.25">
      <c r="I286" s="12" t="s">
        <v>40</v>
      </c>
      <c r="J286" s="12" t="s">
        <v>37</v>
      </c>
      <c r="K286" s="12" t="s">
        <v>29</v>
      </c>
      <c r="L286" s="43">
        <v>9002</v>
      </c>
      <c r="M286" s="44">
        <v>72</v>
      </c>
      <c r="N286" s="43">
        <f>_xlfn.XLOOKUP(Data5[[#This Row],[Product]],products7[Product],products7[Cost per unit])</f>
        <v>7.16</v>
      </c>
      <c r="O286" s="43">
        <f>Data5[[#This Row],[Units]]*Data5[[#This Row],[Cost per unit]]</f>
        <v>515.52</v>
      </c>
      <c r="P286" s="43">
        <f>Data5[[#This Row],[Amount]]-Data5[[#This Row],[Total Cost]]</f>
        <v>8486.48</v>
      </c>
    </row>
    <row r="287" spans="9:16" x14ac:dyDescent="0.25">
      <c r="I287" s="12" t="s">
        <v>6</v>
      </c>
      <c r="J287" s="12" t="s">
        <v>36</v>
      </c>
      <c r="K287" s="12" t="s">
        <v>29</v>
      </c>
      <c r="L287" s="43">
        <v>1400</v>
      </c>
      <c r="M287" s="44">
        <v>135</v>
      </c>
      <c r="N287" s="43">
        <f>_xlfn.XLOOKUP(Data5[[#This Row],[Product]],products7[Product],products7[Cost per unit])</f>
        <v>7.16</v>
      </c>
      <c r="O287" s="43">
        <f>Data5[[#This Row],[Units]]*Data5[[#This Row],[Cost per unit]]</f>
        <v>966.6</v>
      </c>
      <c r="P287" s="43">
        <f>Data5[[#This Row],[Amount]]-Data5[[#This Row],[Total Cost]]</f>
        <v>433.4</v>
      </c>
    </row>
    <row r="288" spans="9:16" x14ac:dyDescent="0.25">
      <c r="I288" s="12" t="s">
        <v>10</v>
      </c>
      <c r="J288" s="12" t="s">
        <v>34</v>
      </c>
      <c r="K288" s="12" t="s">
        <v>22</v>
      </c>
      <c r="L288" s="43">
        <v>4053</v>
      </c>
      <c r="M288" s="44">
        <v>24</v>
      </c>
      <c r="N288" s="43">
        <f>_xlfn.XLOOKUP(Data5[[#This Row],[Product]],products7[Product],products7[Cost per unit])</f>
        <v>9.77</v>
      </c>
      <c r="O288" s="43">
        <f>Data5[[#This Row],[Units]]*Data5[[#This Row],[Cost per unit]]</f>
        <v>234.48</v>
      </c>
      <c r="P288" s="43">
        <f>Data5[[#This Row],[Amount]]-Data5[[#This Row],[Total Cost]]</f>
        <v>3818.52</v>
      </c>
    </row>
    <row r="289" spans="9:16" x14ac:dyDescent="0.25">
      <c r="I289" s="12" t="s">
        <v>7</v>
      </c>
      <c r="J289" s="12" t="s">
        <v>36</v>
      </c>
      <c r="K289" s="12" t="s">
        <v>31</v>
      </c>
      <c r="L289" s="43">
        <v>2149</v>
      </c>
      <c r="M289" s="44">
        <v>117</v>
      </c>
      <c r="N289" s="43">
        <f>_xlfn.XLOOKUP(Data5[[#This Row],[Product]],products7[Product],products7[Cost per unit])</f>
        <v>5.79</v>
      </c>
      <c r="O289" s="43">
        <f>Data5[[#This Row],[Units]]*Data5[[#This Row],[Cost per unit]]</f>
        <v>677.43</v>
      </c>
      <c r="P289" s="43">
        <f>Data5[[#This Row],[Amount]]-Data5[[#This Row],[Total Cost]]</f>
        <v>1471.5700000000002</v>
      </c>
    </row>
    <row r="290" spans="9:16" x14ac:dyDescent="0.25">
      <c r="I290" s="12" t="s">
        <v>3</v>
      </c>
      <c r="J290" s="12" t="s">
        <v>39</v>
      </c>
      <c r="K290" s="12" t="s">
        <v>29</v>
      </c>
      <c r="L290" s="43">
        <v>3640</v>
      </c>
      <c r="M290" s="44">
        <v>51</v>
      </c>
      <c r="N290" s="43">
        <f>_xlfn.XLOOKUP(Data5[[#This Row],[Product]],products7[Product],products7[Cost per unit])</f>
        <v>7.16</v>
      </c>
      <c r="O290" s="43">
        <f>Data5[[#This Row],[Units]]*Data5[[#This Row],[Cost per unit]]</f>
        <v>365.16</v>
      </c>
      <c r="P290" s="43">
        <f>Data5[[#This Row],[Amount]]-Data5[[#This Row],[Total Cost]]</f>
        <v>3274.84</v>
      </c>
    </row>
    <row r="291" spans="9:16" x14ac:dyDescent="0.25">
      <c r="I291" s="12" t="s">
        <v>2</v>
      </c>
      <c r="J291" s="12" t="s">
        <v>39</v>
      </c>
      <c r="K291" s="12" t="s">
        <v>23</v>
      </c>
      <c r="L291" s="43">
        <v>630</v>
      </c>
      <c r="M291" s="44">
        <v>36</v>
      </c>
      <c r="N291" s="43">
        <f>_xlfn.XLOOKUP(Data5[[#This Row],[Product]],products7[Product],products7[Cost per unit])</f>
        <v>6.49</v>
      </c>
      <c r="O291" s="43">
        <f>Data5[[#This Row],[Units]]*Data5[[#This Row],[Cost per unit]]</f>
        <v>233.64000000000001</v>
      </c>
      <c r="P291" s="43">
        <f>Data5[[#This Row],[Amount]]-Data5[[#This Row],[Total Cost]]</f>
        <v>396.36</v>
      </c>
    </row>
    <row r="292" spans="9:16" x14ac:dyDescent="0.25">
      <c r="I292" s="12" t="s">
        <v>9</v>
      </c>
      <c r="J292" s="12" t="s">
        <v>35</v>
      </c>
      <c r="K292" s="12" t="s">
        <v>27</v>
      </c>
      <c r="L292" s="43">
        <v>2429</v>
      </c>
      <c r="M292" s="44">
        <v>144</v>
      </c>
      <c r="N292" s="43">
        <f>_xlfn.XLOOKUP(Data5[[#This Row],[Product]],products7[Product],products7[Cost per unit])</f>
        <v>16.73</v>
      </c>
      <c r="O292" s="43">
        <f>Data5[[#This Row],[Units]]*Data5[[#This Row],[Cost per unit]]</f>
        <v>2409.12</v>
      </c>
      <c r="P292" s="43">
        <f>Data5[[#This Row],[Amount]]-Data5[[#This Row],[Total Cost]]</f>
        <v>19.880000000000109</v>
      </c>
    </row>
    <row r="293" spans="9:16" x14ac:dyDescent="0.25">
      <c r="I293" s="12" t="s">
        <v>9</v>
      </c>
      <c r="J293" s="12" t="s">
        <v>36</v>
      </c>
      <c r="K293" s="12" t="s">
        <v>25</v>
      </c>
      <c r="L293" s="43">
        <v>2142</v>
      </c>
      <c r="M293" s="44">
        <v>114</v>
      </c>
      <c r="N293" s="43">
        <f>_xlfn.XLOOKUP(Data5[[#This Row],[Product]],products7[Product],products7[Cost per unit])</f>
        <v>13.15</v>
      </c>
      <c r="O293" s="43">
        <f>Data5[[#This Row],[Units]]*Data5[[#This Row],[Cost per unit]]</f>
        <v>1499.1000000000001</v>
      </c>
      <c r="P293" s="43">
        <f>Data5[[#This Row],[Amount]]-Data5[[#This Row],[Total Cost]]</f>
        <v>642.89999999999986</v>
      </c>
    </row>
    <row r="294" spans="9:16" x14ac:dyDescent="0.25">
      <c r="I294" s="12" t="s">
        <v>7</v>
      </c>
      <c r="J294" s="12" t="s">
        <v>37</v>
      </c>
      <c r="K294" s="12" t="s">
        <v>30</v>
      </c>
      <c r="L294" s="43">
        <v>6454</v>
      </c>
      <c r="M294" s="44">
        <v>54</v>
      </c>
      <c r="N294" s="43">
        <f>_xlfn.XLOOKUP(Data5[[#This Row],[Product]],products7[Product],products7[Cost per unit])</f>
        <v>14.49</v>
      </c>
      <c r="O294" s="43">
        <f>Data5[[#This Row],[Units]]*Data5[[#This Row],[Cost per unit]]</f>
        <v>782.46</v>
      </c>
      <c r="P294" s="43">
        <f>Data5[[#This Row],[Amount]]-Data5[[#This Row],[Total Cost]]</f>
        <v>5671.54</v>
      </c>
    </row>
    <row r="295" spans="9:16" x14ac:dyDescent="0.25">
      <c r="I295" s="12" t="s">
        <v>7</v>
      </c>
      <c r="J295" s="12" t="s">
        <v>37</v>
      </c>
      <c r="K295" s="12" t="s">
        <v>16</v>
      </c>
      <c r="L295" s="43">
        <v>4487</v>
      </c>
      <c r="M295" s="44">
        <v>333</v>
      </c>
      <c r="N295" s="43">
        <f>_xlfn.XLOOKUP(Data5[[#This Row],[Product]],products7[Product],products7[Cost per unit])</f>
        <v>8.7899999999999991</v>
      </c>
      <c r="O295" s="43">
        <f>Data5[[#This Row],[Units]]*Data5[[#This Row],[Cost per unit]]</f>
        <v>2927.0699999999997</v>
      </c>
      <c r="P295" s="43">
        <f>Data5[[#This Row],[Amount]]-Data5[[#This Row],[Total Cost]]</f>
        <v>1559.9300000000003</v>
      </c>
    </row>
    <row r="296" spans="9:16" x14ac:dyDescent="0.25">
      <c r="I296" s="12" t="s">
        <v>3</v>
      </c>
      <c r="J296" s="12" t="s">
        <v>37</v>
      </c>
      <c r="K296" s="12" t="s">
        <v>4</v>
      </c>
      <c r="L296" s="43">
        <v>938</v>
      </c>
      <c r="M296" s="44">
        <v>366</v>
      </c>
      <c r="N296" s="43">
        <f>_xlfn.XLOOKUP(Data5[[#This Row],[Product]],products7[Product],products7[Cost per unit])</f>
        <v>11.88</v>
      </c>
      <c r="O296" s="43">
        <f>Data5[[#This Row],[Units]]*Data5[[#This Row],[Cost per unit]]</f>
        <v>4348.08</v>
      </c>
      <c r="P296" s="43">
        <f>Data5[[#This Row],[Amount]]-Data5[[#This Row],[Total Cost]]</f>
        <v>-3410.08</v>
      </c>
    </row>
    <row r="297" spans="9:16" x14ac:dyDescent="0.25">
      <c r="I297" s="12" t="s">
        <v>3</v>
      </c>
      <c r="J297" s="12" t="s">
        <v>38</v>
      </c>
      <c r="K297" s="12" t="s">
        <v>26</v>
      </c>
      <c r="L297" s="43">
        <v>8841</v>
      </c>
      <c r="M297" s="44">
        <v>303</v>
      </c>
      <c r="N297" s="43">
        <f>_xlfn.XLOOKUP(Data5[[#This Row],[Product]],products7[Product],products7[Cost per unit])</f>
        <v>5.6</v>
      </c>
      <c r="O297" s="43">
        <f>Data5[[#This Row],[Units]]*Data5[[#This Row],[Cost per unit]]</f>
        <v>1696.8</v>
      </c>
      <c r="P297" s="43">
        <f>Data5[[#This Row],[Amount]]-Data5[[#This Row],[Total Cost]]</f>
        <v>7144.2</v>
      </c>
    </row>
    <row r="298" spans="9:16" x14ac:dyDescent="0.25">
      <c r="I298" s="12" t="s">
        <v>2</v>
      </c>
      <c r="J298" s="12" t="s">
        <v>39</v>
      </c>
      <c r="K298" s="12" t="s">
        <v>33</v>
      </c>
      <c r="L298" s="43">
        <v>4018</v>
      </c>
      <c r="M298" s="44">
        <v>126</v>
      </c>
      <c r="N298" s="43">
        <f>_xlfn.XLOOKUP(Data5[[#This Row],[Product]],products7[Product],products7[Cost per unit])</f>
        <v>12.37</v>
      </c>
      <c r="O298" s="43">
        <f>Data5[[#This Row],[Units]]*Data5[[#This Row],[Cost per unit]]</f>
        <v>1558.62</v>
      </c>
      <c r="P298" s="43">
        <f>Data5[[#This Row],[Amount]]-Data5[[#This Row],[Total Cost]]</f>
        <v>2459.38</v>
      </c>
    </row>
    <row r="299" spans="9:16" x14ac:dyDescent="0.25">
      <c r="I299" s="12" t="s">
        <v>41</v>
      </c>
      <c r="J299" s="12" t="s">
        <v>37</v>
      </c>
      <c r="K299" s="12" t="s">
        <v>15</v>
      </c>
      <c r="L299" s="43">
        <v>714</v>
      </c>
      <c r="M299" s="44">
        <v>231</v>
      </c>
      <c r="N299" s="43">
        <f>_xlfn.XLOOKUP(Data5[[#This Row],[Product]],products7[Product],products7[Cost per unit])</f>
        <v>11.73</v>
      </c>
      <c r="O299" s="43">
        <f>Data5[[#This Row],[Units]]*Data5[[#This Row],[Cost per unit]]</f>
        <v>2709.63</v>
      </c>
      <c r="P299" s="43">
        <f>Data5[[#This Row],[Amount]]-Data5[[#This Row],[Total Cost]]</f>
        <v>-1995.63</v>
      </c>
    </row>
    <row r="300" spans="9:16" x14ac:dyDescent="0.25">
      <c r="I300" s="12" t="s">
        <v>9</v>
      </c>
      <c r="J300" s="12" t="s">
        <v>38</v>
      </c>
      <c r="K300" s="12" t="s">
        <v>25</v>
      </c>
      <c r="L300" s="43">
        <v>3850</v>
      </c>
      <c r="M300" s="44">
        <v>102</v>
      </c>
      <c r="N300" s="43">
        <f>_xlfn.XLOOKUP(Data5[[#This Row],[Product]],products7[Product],products7[Cost per unit])</f>
        <v>13.15</v>
      </c>
      <c r="O300" s="43">
        <f>Data5[[#This Row],[Units]]*Data5[[#This Row],[Cost per unit]]</f>
        <v>1341.3</v>
      </c>
      <c r="P300" s="43">
        <f>Data5[[#This Row],[Amount]]-Data5[[#This Row],[Total Cost]]</f>
        <v>2508.6999999999998</v>
      </c>
    </row>
  </sheetData>
  <mergeCells count="1">
    <mergeCell ref="A1:B1"/>
  </mergeCells>
  <pageMargins left="0.7" right="0.7" top="0.75" bottom="0.75" header="0.3" footer="0.3"/>
  <drawing r:id="rId2"/>
  <tableParts count="2">
    <tablePart r:id="rId3"/>
    <tablePart r:id="rId4"/>
  </tableParts>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07829-78DE-7B44-9412-6C74EC4A31CF}">
  <dimension ref="A1:S23"/>
  <sheetViews>
    <sheetView workbookViewId="0">
      <selection activeCell="D6" sqref="D6"/>
    </sheetView>
  </sheetViews>
  <sheetFormatPr baseColWidth="10" defaultRowHeight="15" x14ac:dyDescent="0.2"/>
  <cols>
    <col min="2" max="2" width="16.5" bestFit="1" customWidth="1"/>
    <col min="3" max="3" width="12" customWidth="1"/>
    <col min="4" max="4" width="16.6640625" bestFit="1" customWidth="1"/>
    <col min="7" max="7" width="19.6640625" bestFit="1" customWidth="1"/>
    <col min="8" max="8" width="20.1640625" customWidth="1"/>
    <col min="10" max="10" width="20.6640625" customWidth="1"/>
  </cols>
  <sheetData>
    <row r="1" spans="1:19" x14ac:dyDescent="0.2">
      <c r="A1" s="52" t="s">
        <v>85</v>
      </c>
      <c r="B1" s="53"/>
      <c r="C1" s="53"/>
      <c r="D1" s="53"/>
      <c r="E1" s="53"/>
      <c r="F1" s="53"/>
      <c r="G1" s="53"/>
      <c r="H1" s="53"/>
      <c r="I1" s="53"/>
      <c r="J1" s="53"/>
      <c r="K1" s="53"/>
      <c r="L1" s="53"/>
      <c r="M1" s="53"/>
      <c r="N1" s="53"/>
      <c r="O1" s="53"/>
      <c r="P1" s="53"/>
      <c r="Q1" s="53"/>
      <c r="R1" s="53"/>
      <c r="S1" s="53"/>
    </row>
    <row r="2" spans="1:19" x14ac:dyDescent="0.2">
      <c r="A2" s="53"/>
      <c r="B2" s="53"/>
      <c r="C2" s="53"/>
      <c r="D2" s="53"/>
      <c r="E2" s="53"/>
      <c r="F2" s="53"/>
      <c r="G2" s="53"/>
      <c r="H2" s="53"/>
      <c r="I2" s="53"/>
      <c r="J2" s="53"/>
      <c r="K2" s="53"/>
      <c r="L2" s="53"/>
      <c r="M2" s="53"/>
      <c r="N2" s="53"/>
      <c r="O2" s="53"/>
      <c r="P2" s="53"/>
      <c r="Q2" s="53"/>
      <c r="R2" s="53"/>
      <c r="S2" s="53"/>
    </row>
    <row r="3" spans="1:19" x14ac:dyDescent="0.2">
      <c r="A3" s="53"/>
      <c r="B3" s="53"/>
      <c r="C3" s="53"/>
      <c r="D3" s="53"/>
      <c r="E3" s="53"/>
      <c r="F3" s="53"/>
      <c r="G3" s="53"/>
      <c r="H3" s="53"/>
      <c r="I3" s="53"/>
      <c r="J3" s="53"/>
      <c r="K3" s="53"/>
      <c r="L3" s="53"/>
      <c r="M3" s="53"/>
      <c r="N3" s="53"/>
      <c r="O3" s="53"/>
      <c r="P3" s="53"/>
      <c r="Q3" s="53"/>
      <c r="R3" s="53"/>
      <c r="S3" s="53"/>
    </row>
    <row r="6" spans="1:19" ht="21" x14ac:dyDescent="0.25">
      <c r="B6" s="12" t="s">
        <v>86</v>
      </c>
      <c r="D6" s="47" t="s">
        <v>38</v>
      </c>
      <c r="R6" t="str" cm="1">
        <f t="array" ref="R6:R11">_xlfn.UNIQUE(Data[Geography])</f>
        <v>New Zealand</v>
      </c>
    </row>
    <row r="7" spans="1:19" x14ac:dyDescent="0.2">
      <c r="R7" t="str">
        <v>USA</v>
      </c>
    </row>
    <row r="8" spans="1:19" x14ac:dyDescent="0.2">
      <c r="R8" t="str">
        <v>Canada</v>
      </c>
    </row>
    <row r="9" spans="1:19" ht="21" x14ac:dyDescent="0.25">
      <c r="B9" s="48" t="s">
        <v>87</v>
      </c>
      <c r="C9" s="48"/>
      <c r="D9" s="48"/>
      <c r="G9" s="49" t="s">
        <v>88</v>
      </c>
      <c r="H9" s="49"/>
      <c r="I9" s="49"/>
      <c r="J9" s="49"/>
      <c r="R9" t="str">
        <v>UK</v>
      </c>
    </row>
    <row r="10" spans="1:19" x14ac:dyDescent="0.2">
      <c r="R10" t="str">
        <v>Australia</v>
      </c>
    </row>
    <row r="11" spans="1:19" ht="21" x14ac:dyDescent="0.25">
      <c r="B11" s="46" t="s">
        <v>89</v>
      </c>
      <c r="C11" s="46"/>
      <c r="D11" s="12">
        <f>COUNTIF(Data[Geography],'dynamic report'!D6)</f>
        <v>46</v>
      </c>
      <c r="G11" s="51" t="s">
        <v>94</v>
      </c>
      <c r="H11" s="51" t="s">
        <v>1</v>
      </c>
      <c r="I11" s="51" t="s">
        <v>49</v>
      </c>
      <c r="J11" s="51" t="s">
        <v>95</v>
      </c>
      <c r="R11" t="str">
        <v>India</v>
      </c>
    </row>
    <row r="12" spans="1:19" ht="21" x14ac:dyDescent="0.25">
      <c r="G12" s="12" t="str" cm="1">
        <f t="array" ref="G12:G21">_xlfn.UNIQUE(Data[Sales Person])</f>
        <v>Ram Mahesh</v>
      </c>
      <c r="H12" s="25">
        <f>SUMIFS(Data[Amount],Data[Geography],D6,Data[Sales Person],G12)</f>
        <v>20097</v>
      </c>
      <c r="I12" s="12">
        <f>SUMIFS(Data[Units],Data[Geography],D6,Data[Sales Person],G12)</f>
        <v>711</v>
      </c>
      <c r="J12">
        <f>IF(H12&gt;12000,1,-1)</f>
        <v>1</v>
      </c>
    </row>
    <row r="13" spans="1:19" ht="21" x14ac:dyDescent="0.25">
      <c r="B13" s="50"/>
      <c r="C13" s="51" t="s">
        <v>90</v>
      </c>
      <c r="D13" s="51" t="s">
        <v>55</v>
      </c>
      <c r="G13" s="12" t="str">
        <v>Brien Boise</v>
      </c>
      <c r="H13" s="25">
        <f>SUMIFS(Data[Amount],Data[Geography],D6,Data[Sales Person],G13)</f>
        <v>15141</v>
      </c>
      <c r="I13" s="12">
        <f>SUMIFS(Data[Units],Data[Geography],D6,Data[Sales Person],G13)</f>
        <v>1182</v>
      </c>
      <c r="J13">
        <f t="shared" ref="J13:J21" si="0">IF(H13&gt;12000,1,-1)</f>
        <v>1</v>
      </c>
    </row>
    <row r="14" spans="1:19" ht="21" x14ac:dyDescent="0.25">
      <c r="B14" s="12" t="s">
        <v>91</v>
      </c>
      <c r="C14" s="25">
        <f>SUMIF(Data5[Geography],D6,Data5[Amount])</f>
        <v>168679</v>
      </c>
      <c r="D14" s="25">
        <f>AVERAGEIF(Data5[Geography],D6,Data5[Amount])</f>
        <v>3666.9347826086955</v>
      </c>
      <c r="G14" s="12" t="str">
        <v>Husein Augar</v>
      </c>
      <c r="H14" s="25">
        <f>SUMIFS(Data[Amount],Data[Geography],D6,Data[Sales Person],G14)</f>
        <v>24983</v>
      </c>
      <c r="I14" s="12">
        <f>SUMIFS(Data[Units],Data[Geography],D6,Data[Sales Person],G14)</f>
        <v>477</v>
      </c>
      <c r="J14">
        <f t="shared" si="0"/>
        <v>1</v>
      </c>
      <c r="R14" t="str" cm="1">
        <f t="array" ref="R14:R23">_xlfn.UNIQUE(Data[Sales Person])</f>
        <v>Ram Mahesh</v>
      </c>
    </row>
    <row r="15" spans="1:19" ht="21" x14ac:dyDescent="0.25">
      <c r="B15" s="12" t="s">
        <v>92</v>
      </c>
      <c r="C15" s="25">
        <f>SUMIF(Data5[Geography],D6,Data5[Total Cost])</f>
        <v>60684.719999999987</v>
      </c>
      <c r="D15" s="25">
        <f>AVERAGEIF(Data5[Geography],D6,Data5[Total Cost])</f>
        <v>1319.2330434782605</v>
      </c>
      <c r="G15" s="12" t="str">
        <v>Carla Molina</v>
      </c>
      <c r="H15" s="25">
        <f>SUMIFS(Data[Amount],Data[Geography],D6,Data[Sales Person],G15)</f>
        <v>6069</v>
      </c>
      <c r="I15" s="12">
        <f>SUMIFS(Data[Units],Data[Geography],D6,Data[Sales Person],G15)</f>
        <v>24</v>
      </c>
      <c r="J15">
        <f t="shared" si="0"/>
        <v>-1</v>
      </c>
      <c r="R15" t="str">
        <v>Brien Boise</v>
      </c>
    </row>
    <row r="16" spans="1:19" ht="21" x14ac:dyDescent="0.25">
      <c r="B16" s="12" t="s">
        <v>81</v>
      </c>
      <c r="C16" s="25">
        <f>SUMIF(Data5[Geography],D6,Data5[Profit])</f>
        <v>107994.28</v>
      </c>
      <c r="D16" s="25">
        <f>AVERAGEIF(Data5[Geography],D6,Data5[Profit])</f>
        <v>2347.7017391304348</v>
      </c>
      <c r="G16" s="12" t="str">
        <v>Curtice Advani</v>
      </c>
      <c r="H16" s="25">
        <f>SUMIFS(Data[Amount],Data[Geography],D6,Data[Sales Person],G16)</f>
        <v>15820</v>
      </c>
      <c r="I16" s="12">
        <f>SUMIFS(Data[Units],Data[Geography],D6,Data[Sales Person],G16)</f>
        <v>711</v>
      </c>
      <c r="J16">
        <f t="shared" si="0"/>
        <v>1</v>
      </c>
      <c r="R16" t="str">
        <v>Husein Augar</v>
      </c>
    </row>
    <row r="17" spans="2:18" ht="21" x14ac:dyDescent="0.25">
      <c r="B17" s="12" t="s">
        <v>93</v>
      </c>
      <c r="C17" s="12">
        <f>SUMIF(Data5[Geography],D6,Data5[Units])</f>
        <v>6264</v>
      </c>
      <c r="D17" s="54">
        <f>AVERAGEIF(Data5[Geography],D6,Data5[Units])</f>
        <v>136.17391304347825</v>
      </c>
      <c r="G17" s="12" t="str">
        <v>Ches Bonnell</v>
      </c>
      <c r="H17" s="25">
        <f>SUMIFS(Data[Amount],Data[Geography],D6,Data[Sales Person],G17)</f>
        <v>18865</v>
      </c>
      <c r="I17" s="12">
        <f>SUMIFS(Data[Units],Data[Geography],D6,Data[Sales Person],G17)</f>
        <v>915</v>
      </c>
      <c r="J17">
        <f t="shared" si="0"/>
        <v>1</v>
      </c>
      <c r="R17" t="str">
        <v>Carla Molina</v>
      </c>
    </row>
    <row r="18" spans="2:18" ht="21" x14ac:dyDescent="0.25">
      <c r="G18" s="12" t="str">
        <v>Gigi Bohling</v>
      </c>
      <c r="H18" s="25">
        <f>SUMIFS(Data[Amount],Data[Geography],D6,Data[Sales Person],G18)</f>
        <v>25221</v>
      </c>
      <c r="I18" s="12">
        <f>SUMIFS(Data[Units],Data[Geography],D6,Data[Sales Person],G18)</f>
        <v>288</v>
      </c>
      <c r="J18">
        <f t="shared" si="0"/>
        <v>1</v>
      </c>
      <c r="R18" t="str">
        <v>Curtice Advani</v>
      </c>
    </row>
    <row r="19" spans="2:18" ht="21" x14ac:dyDescent="0.25">
      <c r="G19" s="12" t="str">
        <v>Barr Faughny</v>
      </c>
      <c r="H19" s="25">
        <f>SUMIFS(Data[Amount],Data[Geography],D6,Data[Sales Person],G19)</f>
        <v>18928</v>
      </c>
      <c r="I19" s="12">
        <f>SUMIFS(Data[Units],Data[Geography],D6,Data[Sales Person],G19)</f>
        <v>738</v>
      </c>
      <c r="J19">
        <f t="shared" si="0"/>
        <v>1</v>
      </c>
      <c r="R19" t="str">
        <v>Ches Bonnell</v>
      </c>
    </row>
    <row r="20" spans="2:18" ht="21" x14ac:dyDescent="0.25">
      <c r="G20" s="12" t="str">
        <v>Gunar Cockshoot</v>
      </c>
      <c r="H20" s="25">
        <f>SUMIFS(Data[Amount],Data[Geography],D6,Data[Sales Person],G20)</f>
        <v>8841</v>
      </c>
      <c r="I20" s="12">
        <f>SUMIFS(Data[Units],Data[Geography],D6,Data[Sales Person],G20)</f>
        <v>303</v>
      </c>
      <c r="J20">
        <f t="shared" si="0"/>
        <v>-1</v>
      </c>
      <c r="R20" t="str">
        <v>Gigi Bohling</v>
      </c>
    </row>
    <row r="21" spans="2:18" ht="21" x14ac:dyDescent="0.25">
      <c r="G21" s="12" t="str">
        <v>Oby Sorrel</v>
      </c>
      <c r="H21" s="25">
        <f>SUMIFS(Data[Amount],Data[Geography],D6,Data[Sales Person],G21)</f>
        <v>14714</v>
      </c>
      <c r="I21" s="12">
        <f>SUMIFS(Data[Units],Data[Geography],D6,Data[Sales Person],G21)</f>
        <v>915</v>
      </c>
      <c r="J21">
        <f t="shared" si="0"/>
        <v>1</v>
      </c>
      <c r="R21" t="str">
        <v>Barr Faughny</v>
      </c>
    </row>
    <row r="22" spans="2:18" x14ac:dyDescent="0.2">
      <c r="R22" t="str">
        <v>Gunar Cockshoot</v>
      </c>
    </row>
    <row r="23" spans="2:18" x14ac:dyDescent="0.2">
      <c r="R23" t="str">
        <v>Oby Sorrel</v>
      </c>
    </row>
  </sheetData>
  <mergeCells count="3">
    <mergeCell ref="A1:S3"/>
    <mergeCell ref="B9:D9"/>
    <mergeCell ref="B11:C11"/>
  </mergeCells>
  <conditionalFormatting sqref="H12:H21">
    <cfRule type="dataBar" priority="2">
      <dataBar>
        <cfvo type="min"/>
        <cfvo type="max"/>
        <color theme="9" tint="0.39997558519241921"/>
      </dataBar>
      <extLst>
        <ext xmlns:x14="http://schemas.microsoft.com/office/spreadsheetml/2009/9/main" uri="{B025F937-C7B1-47D3-B67F-A62EFF666E3E}">
          <x14:id>{9A907B22-084A-E04B-952D-01027023693E}</x14:id>
        </ext>
      </extLst>
    </cfRule>
  </conditionalFormatting>
  <dataValidations count="1">
    <dataValidation type="list" allowBlank="1" showInputMessage="1" showErrorMessage="1" sqref="D6" xr:uid="{8D1891EC-848E-774B-B82D-48C6A4E198A7}">
      <formula1>$R$6:$R$11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A907B22-084A-E04B-952D-01027023693E}">
            <x14:dataBar minLength="0" maxLength="100" gradient="0">
              <x14:cfvo type="autoMin"/>
              <x14:cfvo type="autoMax"/>
              <x14:negativeFillColor rgb="FFFF0000"/>
              <x14:axisColor rgb="FF000000"/>
            </x14:dataBar>
          </x14:cfRule>
          <xm:sqref>H12:H21</xm:sqref>
        </x14:conditionalFormatting>
        <x14:conditionalFormatting xmlns:xm="http://schemas.microsoft.com/office/excel/2006/main">
          <x14:cfRule type="iconSet" priority="1" id="{24AA0AFF-5908-0F4A-B7E4-AD45C8D5476E}">
            <x14:iconSet iconSet="3Symbols2" showValue="0" custom="1">
              <x14:cfvo type="percent">
                <xm:f>0</xm:f>
              </x14:cfvo>
              <x14:cfvo type="num" gte="0">
                <xm:f>-2</xm:f>
              </x14:cfvo>
              <x14:cfvo type="num">
                <xm:f>1</xm:f>
              </x14:cfvo>
              <x14:cfIcon iconSet="3Symbols2" iconId="0"/>
              <x14:cfIcon iconSet="3Symbols2" iconId="0"/>
              <x14:cfIcon iconSet="3Symbols2" iconId="2"/>
            </x14:iconSet>
          </x14:cfRule>
          <xm:sqref>J12:J21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4FA0-91E5-DE46-8C04-B6F6B764C32E}">
  <dimension ref="A1:M27"/>
  <sheetViews>
    <sheetView tabSelected="1" workbookViewId="0">
      <selection activeCell="D34" sqref="D34"/>
    </sheetView>
  </sheetViews>
  <sheetFormatPr baseColWidth="10" defaultRowHeight="15" x14ac:dyDescent="0.2"/>
  <cols>
    <col min="1" max="1" width="18.83203125" bestFit="1" customWidth="1"/>
    <col min="2" max="2" width="19.33203125" bestFit="1" customWidth="1"/>
    <col min="3" max="3" width="15.6640625" bestFit="1" customWidth="1"/>
    <col min="4" max="4" width="16.5" bestFit="1" customWidth="1"/>
    <col min="5" max="5" width="9.6640625" bestFit="1" customWidth="1"/>
  </cols>
  <sheetData>
    <row r="1" spans="1:13" ht="27" customHeight="1" x14ac:dyDescent="0.3">
      <c r="A1" s="65" t="s">
        <v>97</v>
      </c>
      <c r="B1" s="64"/>
      <c r="C1" s="64"/>
      <c r="D1" s="64"/>
      <c r="E1" s="64"/>
      <c r="F1" s="64"/>
      <c r="G1" s="64"/>
      <c r="H1" s="64"/>
      <c r="I1" s="64"/>
      <c r="J1" s="64"/>
      <c r="K1" s="64"/>
      <c r="L1" s="64"/>
      <c r="M1" s="64"/>
    </row>
    <row r="3" spans="1:13" ht="21" x14ac:dyDescent="0.25">
      <c r="A3" s="22" t="s">
        <v>68</v>
      </c>
      <c r="B3" s="12" t="s">
        <v>69</v>
      </c>
      <c r="C3" s="12" t="s">
        <v>70</v>
      </c>
      <c r="D3" s="12" t="s">
        <v>83</v>
      </c>
      <c r="E3" s="28" t="s">
        <v>98</v>
      </c>
    </row>
    <row r="4" spans="1:13" ht="21" x14ac:dyDescent="0.25">
      <c r="A4" s="23" t="s">
        <v>14</v>
      </c>
      <c r="B4" s="25">
        <v>43183</v>
      </c>
      <c r="C4" s="35">
        <v>2022</v>
      </c>
      <c r="D4" s="25">
        <v>19525.600000000002</v>
      </c>
      <c r="E4" s="66">
        <f>GETPIVOTDATA("Sum of Profit",$A$3,"Product","50% Dark Bites")/GETPIVOTDATA("Sum of Amount",$A$3,"Product","50% Dark Bites")</f>
        <v>0.45215941458444298</v>
      </c>
    </row>
    <row r="5" spans="1:13" ht="21" x14ac:dyDescent="0.25">
      <c r="A5" s="23" t="s">
        <v>30</v>
      </c>
      <c r="B5" s="25">
        <v>66500</v>
      </c>
      <c r="C5" s="35">
        <v>2802</v>
      </c>
      <c r="D5" s="25">
        <v>25899.02</v>
      </c>
      <c r="E5" s="66">
        <f>GETPIVOTDATA("Sum of Profit",$A$3,"Product","70% Dark Bites")/GETPIVOTDATA("Sum of Amount",$A$3,"Product","70% Dark Bites")</f>
        <v>0.38945894736842107</v>
      </c>
    </row>
    <row r="6" spans="1:13" ht="21" x14ac:dyDescent="0.25">
      <c r="A6" s="23" t="s">
        <v>24</v>
      </c>
      <c r="B6" s="25">
        <v>35378</v>
      </c>
      <c r="C6" s="35">
        <v>1044</v>
      </c>
      <c r="D6" s="25">
        <v>30189.32</v>
      </c>
      <c r="E6" s="66">
        <f>GETPIVOTDATA("Sum of Profit",$A$3,"Product","85% Dark Bars")/GETPIVOTDATA("Sum of Amount",$A$3,"Product","85% Dark Bars")</f>
        <v>0.85333597150771667</v>
      </c>
    </row>
    <row r="7" spans="1:13" ht="21" x14ac:dyDescent="0.25">
      <c r="A7" s="23" t="s">
        <v>19</v>
      </c>
      <c r="B7" s="25">
        <v>44744</v>
      </c>
      <c r="C7" s="35">
        <v>1956</v>
      </c>
      <c r="D7" s="25">
        <v>29800.16</v>
      </c>
      <c r="E7" s="66">
        <f>GETPIVOTDATA("Sum of Profit",$A$3,"Product","99% Dark &amp; Pure")/GETPIVOTDATA("Sum of Amount",$A$3,"Product","99% Dark &amp; Pure")</f>
        <v>0.6660146611836224</v>
      </c>
    </row>
    <row r="8" spans="1:13" ht="21" x14ac:dyDescent="0.25">
      <c r="A8" s="23" t="s">
        <v>22</v>
      </c>
      <c r="B8" s="25">
        <v>66283</v>
      </c>
      <c r="C8" s="35">
        <v>2052</v>
      </c>
      <c r="D8" s="25">
        <v>46234.96</v>
      </c>
      <c r="E8" s="66">
        <f>GETPIVOTDATA("Sum of Profit",$A$3,"Product","After Nines")/GETPIVOTDATA("Sum of Amount",$A$3,"Product","After Nines")</f>
        <v>0.69753873542235567</v>
      </c>
    </row>
    <row r="9" spans="1:13" ht="21" x14ac:dyDescent="0.25">
      <c r="A9" s="23" t="s">
        <v>4</v>
      </c>
      <c r="B9" s="25">
        <v>33551</v>
      </c>
      <c r="C9" s="35">
        <v>1566</v>
      </c>
      <c r="D9" s="25">
        <v>14946.92</v>
      </c>
      <c r="E9" s="66">
        <f>GETPIVOTDATA("Sum of Profit",$A$3,"Product","Almond Choco")/GETPIVOTDATA("Sum of Amount",$A$3,"Product","Almond Choco")</f>
        <v>0.44549849482876813</v>
      </c>
    </row>
    <row r="10" spans="1:13" ht="21" x14ac:dyDescent="0.25">
      <c r="A10" s="23" t="s">
        <v>26</v>
      </c>
      <c r="B10" s="25">
        <v>64967</v>
      </c>
      <c r="C10" s="35">
        <v>2142</v>
      </c>
      <c r="D10" s="25">
        <v>52971.799999999996</v>
      </c>
      <c r="E10" s="66">
        <f>GETPIVOTDATA("Sum of Profit",$A$3,"Product","Baker's Choco Chips")/GETPIVOTDATA("Sum of Amount",$A$3,"Product","Baker's Choco Chips")</f>
        <v>0.81536472362891921</v>
      </c>
    </row>
    <row r="11" spans="1:13" ht="21" x14ac:dyDescent="0.25">
      <c r="A11" s="23" t="s">
        <v>28</v>
      </c>
      <c r="B11" s="25">
        <v>72373</v>
      </c>
      <c r="C11" s="35">
        <v>3207</v>
      </c>
      <c r="D11" s="25">
        <v>39084.339999999989</v>
      </c>
      <c r="E11" s="66">
        <f>GETPIVOTDATA("Sum of Profit",$A$3,"Product","Caramel Stuffed Bars")/GETPIVOTDATA("Sum of Amount",$A$3,"Product","Caramel Stuffed Bars")</f>
        <v>0.54004034653807342</v>
      </c>
    </row>
    <row r="12" spans="1:13" ht="21" x14ac:dyDescent="0.25">
      <c r="A12" s="23" t="s">
        <v>32</v>
      </c>
      <c r="B12" s="25">
        <v>71967</v>
      </c>
      <c r="C12" s="35">
        <v>2301</v>
      </c>
      <c r="D12" s="25">
        <v>52063.350000000006</v>
      </c>
      <c r="E12" s="66">
        <f>GETPIVOTDATA("Sum of Profit",$A$3,"Product","Choco Coated Almonds")/GETPIVOTDATA("Sum of Amount",$A$3,"Product","Choco Coated Almonds")</f>
        <v>0.72343365709283425</v>
      </c>
    </row>
    <row r="13" spans="1:13" ht="21" x14ac:dyDescent="0.25">
      <c r="A13" s="23" t="s">
        <v>18</v>
      </c>
      <c r="B13" s="25">
        <v>52150</v>
      </c>
      <c r="C13" s="35">
        <v>1752</v>
      </c>
      <c r="D13" s="25">
        <v>40814.559999999998</v>
      </c>
      <c r="E13" s="66">
        <f>GETPIVOTDATA("Sum of Profit",$A$3,"Product","Drinking Coco")/GETPIVOTDATA("Sum of Amount",$A$3,"Product","Drinking Coco")</f>
        <v>0.78263777564717163</v>
      </c>
    </row>
    <row r="14" spans="1:13" ht="21" x14ac:dyDescent="0.25">
      <c r="A14" s="23" t="s">
        <v>17</v>
      </c>
      <c r="B14" s="25">
        <v>63721</v>
      </c>
      <c r="C14" s="35">
        <v>2331</v>
      </c>
      <c r="D14" s="25">
        <v>56471.589999999989</v>
      </c>
      <c r="E14" s="66">
        <f>GETPIVOTDATA("Sum of Profit",$A$3,"Product","Eclairs")/GETPIVOTDATA("Sum of Amount",$A$3,"Product","Eclairs")</f>
        <v>0.88623201142480479</v>
      </c>
    </row>
    <row r="15" spans="1:13" ht="21" x14ac:dyDescent="0.25">
      <c r="A15" s="23" t="s">
        <v>23</v>
      </c>
      <c r="B15" s="25">
        <v>56644</v>
      </c>
      <c r="C15" s="35">
        <v>1812</v>
      </c>
      <c r="D15" s="25">
        <v>44884.119999999995</v>
      </c>
      <c r="E15" s="66">
        <f>GETPIVOTDATA("Sum of Profit",$A$3,"Product","Fruit &amp; Nut Bars")/GETPIVOTDATA("Sum of Amount",$A$3,"Product","Fruit &amp; Nut Bars")</f>
        <v>0.79238966174705172</v>
      </c>
    </row>
    <row r="16" spans="1:13" ht="21" x14ac:dyDescent="0.25">
      <c r="A16" s="23" t="s">
        <v>29</v>
      </c>
      <c r="B16" s="25">
        <v>58009</v>
      </c>
      <c r="C16" s="35">
        <v>2976</v>
      </c>
      <c r="D16" s="25">
        <v>36700.840000000011</v>
      </c>
      <c r="E16" s="66">
        <f>GETPIVOTDATA("Sum of Profit",$A$3,"Product","Manuka Honey Choco")/GETPIVOTDATA("Sum of Amount",$A$3,"Product","Manuka Honey Choco")</f>
        <v>0.63267492975228001</v>
      </c>
    </row>
    <row r="17" spans="1:13" ht="21" x14ac:dyDescent="0.25">
      <c r="A17" s="23" t="s">
        <v>13</v>
      </c>
      <c r="B17" s="25">
        <v>47271</v>
      </c>
      <c r="C17" s="35">
        <v>1881</v>
      </c>
      <c r="D17" s="25">
        <v>29721.270000000004</v>
      </c>
      <c r="E17" s="66">
        <f>GETPIVOTDATA("Sum of Profit",$A$3,"Product","Milk Bars")/GETPIVOTDATA("Sum of Amount",$A$3,"Product","Milk Bars")</f>
        <v>0.62874214634765513</v>
      </c>
    </row>
    <row r="18" spans="1:13" ht="21" x14ac:dyDescent="0.25">
      <c r="A18" s="23" t="s">
        <v>16</v>
      </c>
      <c r="B18" s="25">
        <v>62111</v>
      </c>
      <c r="C18" s="35">
        <v>2154</v>
      </c>
      <c r="D18" s="25">
        <v>43177.34</v>
      </c>
      <c r="E18" s="66">
        <f>GETPIVOTDATA("Sum of Profit",$A$3,"Product","Mint Chip Choco")/GETPIVOTDATA("Sum of Amount",$A$3,"Product","Mint Chip Choco")</f>
        <v>0.69516414161742679</v>
      </c>
    </row>
    <row r="19" spans="1:13" ht="21" x14ac:dyDescent="0.25">
      <c r="A19" s="23" t="s">
        <v>20</v>
      </c>
      <c r="B19" s="25">
        <v>54712</v>
      </c>
      <c r="C19" s="35">
        <v>2196</v>
      </c>
      <c r="D19" s="25">
        <v>31390.480000000003</v>
      </c>
      <c r="E19" s="66">
        <f>GETPIVOTDATA("Sum of Profit",$A$3,"Product","Orange Choco")/GETPIVOTDATA("Sum of Amount",$A$3,"Product","Orange Choco")</f>
        <v>0.57374031291124439</v>
      </c>
    </row>
    <row r="20" spans="1:13" ht="21" x14ac:dyDescent="0.25">
      <c r="A20" s="23" t="s">
        <v>27</v>
      </c>
      <c r="B20" s="25">
        <v>69461</v>
      </c>
      <c r="C20" s="35">
        <v>2982</v>
      </c>
      <c r="D20" s="25">
        <v>19572.14</v>
      </c>
      <c r="E20" s="66">
        <f>GETPIVOTDATA("Sum of Profit",$A$3,"Product","Organic Choco Syrup")/GETPIVOTDATA("Sum of Amount",$A$3,"Product","Organic Choco Syrup")</f>
        <v>0.28177164164063284</v>
      </c>
    </row>
    <row r="21" spans="1:13" ht="21" x14ac:dyDescent="0.25">
      <c r="A21" s="23" t="s">
        <v>33</v>
      </c>
      <c r="B21" s="25">
        <v>69160</v>
      </c>
      <c r="C21" s="35">
        <v>1854</v>
      </c>
      <c r="D21" s="25">
        <v>46226.02</v>
      </c>
      <c r="E21" s="66">
        <f>GETPIVOTDATA("Sum of Profit",$A$3,"Product","Peanut Butter Cubes")/GETPIVOTDATA("Sum of Amount",$A$3,"Product","Peanut Butter Cubes")</f>
        <v>0.66839242336610749</v>
      </c>
    </row>
    <row r="22" spans="1:13" ht="21" x14ac:dyDescent="0.25">
      <c r="A22" s="23" t="s">
        <v>15</v>
      </c>
      <c r="B22" s="25">
        <v>68971</v>
      </c>
      <c r="C22" s="35">
        <v>1533</v>
      </c>
      <c r="D22" s="25">
        <v>50988.91</v>
      </c>
      <c r="E22" s="66">
        <f>GETPIVOTDATA("Sum of Profit",$A$3,"Product","Raspberry Choco")/GETPIVOTDATA("Sum of Amount",$A$3,"Product","Raspberry Choco")</f>
        <v>0.73928042220643464</v>
      </c>
    </row>
    <row r="23" spans="1:13" ht="21" x14ac:dyDescent="0.25">
      <c r="A23" s="23" t="s">
        <v>31</v>
      </c>
      <c r="B23" s="25">
        <v>39263</v>
      </c>
      <c r="C23" s="35">
        <v>1683</v>
      </c>
      <c r="D23" s="25">
        <v>29518.43</v>
      </c>
      <c r="E23" s="66">
        <f>GETPIVOTDATA("Sum of Profit",$A$3,"Product","Smooth Sliky Salty")/GETPIVOTDATA("Sum of Amount",$A$3,"Product","Smooth Sliky Salty")</f>
        <v>0.75181290273285284</v>
      </c>
    </row>
    <row r="24" spans="1:13" ht="21" x14ac:dyDescent="0.25">
      <c r="A24" s="23" t="s">
        <v>21</v>
      </c>
      <c r="B24" s="25">
        <v>37772</v>
      </c>
      <c r="C24" s="35">
        <v>1308</v>
      </c>
      <c r="D24" s="25">
        <v>26000</v>
      </c>
      <c r="E24" s="66">
        <f>GETPIVOTDATA("Sum of Profit",$A$3,"Product","Spicy Special Slims")/GETPIVOTDATA("Sum of Amount",$A$3,"Product","Spicy Special Slims")</f>
        <v>0.68834056973419466</v>
      </c>
    </row>
    <row r="25" spans="1:13" ht="21" x14ac:dyDescent="0.25">
      <c r="A25" s="23" t="s">
        <v>25</v>
      </c>
      <c r="B25" s="25">
        <v>57372</v>
      </c>
      <c r="C25" s="35">
        <v>2106</v>
      </c>
      <c r="D25" s="25">
        <v>29678.100000000002</v>
      </c>
      <c r="E25" s="66">
        <f>GETPIVOTDATA("Sum of Profit",$A$3,"Product","White Choc")/GETPIVOTDATA("Sum of Amount",$A$3,"Product","White Choc")</f>
        <v>0.51729240744614102</v>
      </c>
    </row>
    <row r="27" spans="1:13" ht="21" x14ac:dyDescent="0.25">
      <c r="A27" s="67" t="s">
        <v>99</v>
      </c>
      <c r="B27" s="50"/>
      <c r="C27" s="50"/>
      <c r="D27" s="50"/>
      <c r="E27" s="50"/>
      <c r="F27" s="50"/>
      <c r="G27" s="50"/>
      <c r="H27" s="50"/>
      <c r="I27" s="50"/>
      <c r="J27" s="50"/>
      <c r="K27" s="50"/>
      <c r="L27" s="50"/>
      <c r="M27" s="50"/>
    </row>
  </sheetData>
  <mergeCells count="1">
    <mergeCell ref="A1:M1"/>
  </mergeCells>
  <conditionalFormatting sqref="E4:E25">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vt:lpstr>
      <vt:lpstr>Statistics</vt:lpstr>
      <vt:lpstr>EDA</vt:lpstr>
      <vt:lpstr>sales by country</vt:lpstr>
      <vt:lpstr>top 5 prodcuts by $ per unit</vt:lpstr>
      <vt:lpstr>anomaly detection</vt:lpstr>
      <vt:lpstr>best salesperson by country</vt:lpstr>
      <vt:lpstr>profit by product</vt:lpstr>
      <vt:lpstr>dynamic report</vt:lpstr>
      <vt:lpstr>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Neo</cp:lastModifiedBy>
  <dcterms:created xsi:type="dcterms:W3CDTF">2021-03-14T20:21:32Z</dcterms:created>
  <dcterms:modified xsi:type="dcterms:W3CDTF">2023-04-26T19:15:36Z</dcterms:modified>
</cp:coreProperties>
</file>